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" sheetId="6" r:id="rId6"/>
    <sheet name="2017 рік" sheetId="7" r:id="rId7"/>
    <sheet name="2016 рік" sheetId="8" r:id="rId8"/>
  </sheets>
  <externalReferences>
    <externalReference r:id="rId11"/>
    <externalReference r:id="rId12"/>
    <externalReference r:id="rId13"/>
  </externalReferences>
  <definedNames>
    <definedName name="_xlnm.Print_Area" localSheetId="2">'квітень'!$A$1:$X$109</definedName>
    <definedName name="_xlnm.Print_Area" localSheetId="1">'травень'!$A$1:$Z$110</definedName>
    <definedName name="_xlnm.Print_Area" localSheetId="0">'червень'!$A$1:$Z$110</definedName>
  </definedNames>
  <calcPr fullCalcOnLoad="1"/>
</workbook>
</file>

<file path=xl/sharedStrings.xml><?xml version="1.0" encoding="utf-8"?>
<sst xmlns="http://schemas.openxmlformats.org/spreadsheetml/2006/main" count="1475" uniqueCount="249">
  <si>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</si>
  <si>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</si>
  <si>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</si>
  <si>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</si>
  <si>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</si>
  <si>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</si>
  <si>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</si>
  <si>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</si>
  <si>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</si>
  <si>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</si>
  <si>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</si>
  <si>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</si>
  <si>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</si>
  <si>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</si>
  <si>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</si>
  <si>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</si>
  <si>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</si>
  <si>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</si>
  <si>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</si>
  <si>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</si>
  <si>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</si>
  <si>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</si>
  <si>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</si>
  <si>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</si>
  <si>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</si>
  <si>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</si>
  <si>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</si>
  <si>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</si>
  <si>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</si>
  <si>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</si>
  <si>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</si>
  <si>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</si>
  <si>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</si>
  <si>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</si>
  <si>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</si>
  <si>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</si>
  <si>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</si>
  <si>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</si>
  <si>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</si>
  <si>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</si>
  <si>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</si>
  <si>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</si>
  <si>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</si>
  <si>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</si>
  <si>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</si>
  <si>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</si>
  <si>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</si>
  <si>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</si>
  <si>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</si>
  <si>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</si>
  <si>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</si>
  <si>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</si>
  <si>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</si>
  <si>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</si>
  <si>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</si>
  <si>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</si>
  <si>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</si>
  <si>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</si>
  <si>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</si>
  <si>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</si>
  <si>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</si>
  <si>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</si>
  <si>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</si>
  <si>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</si>
  <si>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</si>
  <si>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</si>
  <si>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</si>
  <si>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</si>
  <si>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</si>
  <si>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</si>
  <si>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</si>
  <si>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</si>
  <si>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</si>
  <si>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</si>
  <si>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</si>
  <si>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</si>
  <si>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</si>
  <si>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</si>
  <si>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</si>
  <si>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</si>
  <si>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</si>
  <si>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</si>
  <si>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</si>
  <si>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</si>
  <si>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</si>
  <si>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</si>
  <si>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</si>
  <si>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</si>
  <si>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</si>
  <si>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</si>
  <si>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</si>
  <si>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</si>
  <si>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</si>
  <si>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</si>
  <si>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</si>
  <si>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</si>
  <si>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</si>
  <si>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</si>
  <si>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</si>
  <si>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</si>
  <si>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</si>
  <si>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</si>
  <si>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</si>
  <si>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</si>
  <si>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</si>
  <si>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</si>
  <si>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</si>
  <si>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</si>
  <si>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</si>
  <si>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</si>
  <si>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</si>
  <si>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</si>
  <si>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</si>
  <si>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</si>
  <si>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</si>
  <si>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</si>
  <si>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</si>
  <si>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</si>
  <si>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</si>
  <si>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</si>
  <si>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</si>
  <si>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</si>
  <si>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</si>
  <si>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</si>
  <si>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</si>
  <si>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</si>
  <si>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</si>
  <si>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</si>
  <si>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</si>
  <si>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</si>
  <si>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</si>
  <si>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</si>
  <si>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</si>
  <si>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</si>
  <si>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</si>
  <si>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</si>
  <si>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</si>
  <si>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</si>
  <si>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</si>
  <si>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</si>
  <si>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</si>
  <si>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</si>
  <si>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</si>
  <si>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</si>
  <si>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</si>
  <si>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</si>
  <si>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</si>
  <si>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</si>
  <si>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</si>
  <si>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</si>
  <si>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</si>
  <si>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</si>
  <si>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</si>
  <si>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</si>
  <si>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</si>
  <si>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</si>
  <si>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</si>
  <si>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</si>
  <si>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</si>
  <si>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</si>
  <si>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</si>
  <si>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</si>
  <si>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</si>
  <si>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</si>
  <si>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</si>
  <si>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</si>
  <si>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</si>
  <si>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</si>
  <si>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</si>
  <si>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</si>
  <si>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</si>
  <si>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</si>
  <si>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</si>
  <si>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</si>
  <si>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</si>
  <si>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</si>
  <si>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</si>
  <si>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</si>
  <si>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</si>
  <si>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</si>
  <si>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</si>
  <si>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</si>
  <si>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</si>
  <si>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</si>
  <si>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</si>
  <si>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</si>
  <si>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</si>
  <si>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</si>
  <si>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</si>
  <si>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</si>
  <si>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</si>
  <si>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</si>
  <si>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</si>
  <si>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</si>
  <si>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</si>
  <si>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</si>
  <si>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</si>
  <si>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</si>
  <si>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</si>
  <si>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</si>
  <si>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</si>
  <si>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</si>
  <si>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</si>
  <si>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</si>
  <si>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</si>
  <si>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</si>
  <si>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</si>
  <si>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</si>
  <si>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</si>
  <si>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</si>
  <si>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</si>
  <si>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</si>
  <si>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</si>
  <si>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</si>
  <si>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</si>
  <si>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</si>
  <si>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</si>
  <si>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</si>
  <si>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</si>
  <si>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</si>
  <si>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</si>
  <si>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</si>
  <si>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</si>
  <si>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</si>
  <si>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</si>
  <si>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</si>
  <si>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</si>
  <si>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</si>
  <si>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</si>
  <si>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</si>
  <si>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</si>
  <si>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</si>
  <si>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</si>
  <si>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</si>
  <si>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</si>
  <si>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</si>
  <si>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</si>
  <si>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</si>
  <si>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t>Кошти за шкоду внаслідок   самовільного зайняття землі, використання не за цільовим призначенням, зняття ґрунтового покриву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</si>
  <si>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</si>
  <si>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</si>
  <si>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січень-червень</t>
  </si>
  <si>
    <t>Відхилення (+,-) до  плану на січень-червень 2018 року</t>
  </si>
  <si>
    <t>% виконання  плану на січень- червень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</si>
  <si>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</si>
  <si>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</si>
  <si>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</si>
  <si>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</si>
  <si>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07.06.18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</si>
</sst>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25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7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24" fillId="0" borderId="0">
      <alignment/>
      <protection/>
    </xf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8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0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1" fillId="41" borderId="10" xfId="0" applyNumberFormat="1" applyFont="1" applyFill="1" applyBorder="1" applyAlignment="1">
      <alignment/>
    </xf>
    <xf numFmtId="182" fontId="91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0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0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0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2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88" fillId="0" borderId="10" xfId="0" applyNumberFormat="1" applyFont="1" applyFill="1" applyBorder="1" applyAlignment="1" applyProtection="1">
      <alignment/>
      <protection/>
    </xf>
    <xf numFmtId="191" fontId="88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1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8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vikonannya%2016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  <sheetDataSet>
      <sheetData sheetId="23">
        <row r="6">
          <cell r="G6">
            <v>1880.42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  <sheetName val="240622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70"/>
  <sheetViews>
    <sheetView tabSelected="1" zoomScale="68" zoomScaleNormal="68" zoomScalePageLayoutView="0" workbookViewId="0" topLeftCell="B1">
      <pane xSplit="3" ySplit="8" topLeftCell="E9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106" sqref="F10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247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244</v>
      </c>
      <c r="V3" s="502" t="s">
        <v>245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241</v>
      </c>
      <c r="G4" s="487" t="s">
        <v>31</v>
      </c>
      <c r="H4" s="475" t="s">
        <v>242</v>
      </c>
      <c r="I4" s="489" t="s">
        <v>243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248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246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761497.95</v>
      </c>
      <c r="G8" s="103">
        <f>G9+G15+G18+G19+G23+G17</f>
        <v>678696.4099999999</v>
      </c>
      <c r="H8" s="103">
        <f>G8-F8</f>
        <v>-82801.54000000004</v>
      </c>
      <c r="I8" s="210">
        <f aca="true" t="shared" si="0" ref="I8:I15">G8/F8</f>
        <v>0.891264920673785</v>
      </c>
      <c r="J8" s="104">
        <f aca="true" t="shared" si="1" ref="J8:J52">G8-E8</f>
        <v>-924554.49</v>
      </c>
      <c r="K8" s="156">
        <f aca="true" t="shared" si="2" ref="K8:K14">G8/E8</f>
        <v>0.42332513894113516</v>
      </c>
      <c r="L8" s="104"/>
      <c r="M8" s="104"/>
      <c r="N8" s="104"/>
      <c r="O8" s="104">
        <v>1329586.12</v>
      </c>
      <c r="P8" s="104">
        <f aca="true" t="shared" si="3" ref="P8:P51">E8-O8</f>
        <v>273664.7799999998</v>
      </c>
      <c r="Q8" s="156">
        <f aca="true" t="shared" si="4" ref="Q8:Q51">E8/O8</f>
        <v>1.2058270433809881</v>
      </c>
      <c r="R8" s="103">
        <v>609470.13</v>
      </c>
      <c r="S8" s="103">
        <f aca="true" t="shared" si="5" ref="S8:S79">G8-R8</f>
        <v>69226.27999999991</v>
      </c>
      <c r="T8" s="143">
        <f aca="true" t="shared" si="6" ref="T8:T41">G8/R8</f>
        <v>1.1135843687696392</v>
      </c>
      <c r="U8" s="103">
        <f>U9+U15+U18+U19+U23+U17</f>
        <v>124330.00000000006</v>
      </c>
      <c r="V8" s="103">
        <f>V9+V15+V18+V19+V23+V17</f>
        <v>29388.71</v>
      </c>
      <c r="W8" s="103">
        <f>V8-U8</f>
        <v>-94941.29000000007</v>
      </c>
      <c r="X8" s="143">
        <f aca="true" t="shared" si="7" ref="X8:X15">V8/U8</f>
        <v>0.23637665889165918</v>
      </c>
      <c r="Y8" s="199">
        <f aca="true" t="shared" si="8" ref="Y8:Y22">T8-Q8</f>
        <v>-0.09224267461134894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463443.25</v>
      </c>
      <c r="G9" s="106">
        <v>405845.8</v>
      </c>
      <c r="H9" s="102">
        <f>G9-F9</f>
        <v>-57597.45000000001</v>
      </c>
      <c r="I9" s="208">
        <f t="shared" si="0"/>
        <v>0.8757184401757928</v>
      </c>
      <c r="J9" s="108">
        <f t="shared" si="1"/>
        <v>-570874.3</v>
      </c>
      <c r="K9" s="148">
        <f t="shared" si="2"/>
        <v>0.4155190417397983</v>
      </c>
      <c r="L9" s="108"/>
      <c r="M9" s="108"/>
      <c r="N9" s="108"/>
      <c r="O9" s="108">
        <v>775821.8</v>
      </c>
      <c r="P9" s="108">
        <f t="shared" si="3"/>
        <v>200898.29999999993</v>
      </c>
      <c r="Q9" s="148">
        <f t="shared" si="4"/>
        <v>1.2589490266965944</v>
      </c>
      <c r="R9" s="115">
        <v>351542.38</v>
      </c>
      <c r="S9" s="109">
        <f t="shared" si="5"/>
        <v>54303.419999999984</v>
      </c>
      <c r="T9" s="144">
        <f t="shared" si="6"/>
        <v>1.1544719017946001</v>
      </c>
      <c r="U9" s="107">
        <f>F9-травень!F9</f>
        <v>86181.00000000006</v>
      </c>
      <c r="V9" s="110">
        <f>G9-травень!G9</f>
        <v>25028.95000000001</v>
      </c>
      <c r="W9" s="111">
        <f>V9-U9</f>
        <v>-61152.05000000005</v>
      </c>
      <c r="X9" s="148">
        <f t="shared" si="7"/>
        <v>0.29042306308815163</v>
      </c>
      <c r="Y9" s="200">
        <f t="shared" si="8"/>
        <v>-0.10447712490199423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426386.91</v>
      </c>
      <c r="G10" s="94">
        <v>349166.04</v>
      </c>
      <c r="H10" s="71">
        <f aca="true" t="shared" si="9" ref="H10:H47">G10-F10</f>
        <v>-77220.87</v>
      </c>
      <c r="I10" s="209">
        <f t="shared" si="0"/>
        <v>0.818894838962106</v>
      </c>
      <c r="J10" s="72">
        <f t="shared" si="1"/>
        <v>-553154.06</v>
      </c>
      <c r="K10" s="75">
        <f t="shared" si="2"/>
        <v>0.38696471462843396</v>
      </c>
      <c r="L10" s="72"/>
      <c r="M10" s="72"/>
      <c r="N10" s="72"/>
      <c r="O10" s="72">
        <v>709899.75</v>
      </c>
      <c r="P10" s="72">
        <f t="shared" si="3"/>
        <v>192420.34999999998</v>
      </c>
      <c r="Q10" s="75">
        <f t="shared" si="4"/>
        <v>1.2710528493635898</v>
      </c>
      <c r="R10" s="74">
        <v>322544.76</v>
      </c>
      <c r="S10" s="74">
        <f t="shared" si="5"/>
        <v>26621.27999999997</v>
      </c>
      <c r="T10" s="145">
        <f t="shared" si="6"/>
        <v>1.0825351495401754</v>
      </c>
      <c r="U10" s="73">
        <f>F10-травень!F10</f>
        <v>80600</v>
      </c>
      <c r="V10" s="98">
        <f>G10-травень!G10</f>
        <v>2555.329999999958</v>
      </c>
      <c r="W10" s="74">
        <f aca="true" t="shared" si="10" ref="W10:W73">V10-U10</f>
        <v>-78044.67000000004</v>
      </c>
      <c r="X10" s="75">
        <f t="shared" si="7"/>
        <v>0.03170384615384563</v>
      </c>
      <c r="Y10" s="198">
        <f t="shared" si="8"/>
        <v>-0.18851769982341438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24860.3</v>
      </c>
      <c r="G11" s="94">
        <v>21226.56</v>
      </c>
      <c r="H11" s="71">
        <f t="shared" si="9"/>
        <v>-3633.739999999998</v>
      </c>
      <c r="I11" s="209">
        <f t="shared" si="0"/>
        <v>0.853833622281308</v>
      </c>
      <c r="J11" s="72">
        <f t="shared" si="1"/>
        <v>-28673.44</v>
      </c>
      <c r="K11" s="75">
        <f t="shared" si="2"/>
        <v>0.4253819639278557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19085.89</v>
      </c>
      <c r="S11" s="74">
        <f t="shared" si="5"/>
        <v>2140.670000000002</v>
      </c>
      <c r="T11" s="145">
        <f t="shared" si="6"/>
        <v>1.1121598206842858</v>
      </c>
      <c r="U11" s="73">
        <f>F11-травень!F11</f>
        <v>3819</v>
      </c>
      <c r="V11" s="98">
        <f>G11-травень!G11</f>
        <v>86.97000000000116</v>
      </c>
      <c r="W11" s="74">
        <f t="shared" si="10"/>
        <v>-3732.029999999999</v>
      </c>
      <c r="X11" s="75">
        <f t="shared" si="7"/>
        <v>0.022772977219167625</v>
      </c>
      <c r="Y11" s="198">
        <f t="shared" si="8"/>
        <v>-0.061504653809209664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6521.41</v>
      </c>
      <c r="G12" s="94">
        <v>7451.56</v>
      </c>
      <c r="H12" s="71">
        <f t="shared" si="9"/>
        <v>930.1500000000005</v>
      </c>
      <c r="I12" s="209">
        <f t="shared" si="0"/>
        <v>1.1426301980706628</v>
      </c>
      <c r="J12" s="72">
        <f t="shared" si="1"/>
        <v>-4548.44</v>
      </c>
      <c r="K12" s="75">
        <f t="shared" si="2"/>
        <v>0.6209633333333333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4513.03</v>
      </c>
      <c r="S12" s="74">
        <f t="shared" si="5"/>
        <v>2938.5300000000007</v>
      </c>
      <c r="T12" s="145">
        <f t="shared" si="6"/>
        <v>1.6511213087437933</v>
      </c>
      <c r="U12" s="73">
        <f>F12-травень!F12</f>
        <v>625</v>
      </c>
      <c r="V12" s="98">
        <f>G12-травень!G12</f>
        <v>176.01000000000022</v>
      </c>
      <c r="W12" s="74">
        <f t="shared" si="10"/>
        <v>-448.9899999999998</v>
      </c>
      <c r="X12" s="75">
        <f t="shared" si="7"/>
        <v>0.28161600000000037</v>
      </c>
      <c r="Y12" s="198">
        <f t="shared" si="8"/>
        <v>0.6504667138629754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5364</v>
      </c>
      <c r="G13" s="94">
        <v>5580.55</v>
      </c>
      <c r="H13" s="71">
        <f t="shared" si="9"/>
        <v>216.55000000000018</v>
      </c>
      <c r="I13" s="209">
        <f t="shared" si="0"/>
        <v>1.0403709917971664</v>
      </c>
      <c r="J13" s="72">
        <f t="shared" si="1"/>
        <v>-6419.45</v>
      </c>
      <c r="K13" s="75">
        <f t="shared" si="2"/>
        <v>0.4650458333333333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4691.17</v>
      </c>
      <c r="S13" s="74">
        <f t="shared" si="5"/>
        <v>889.3800000000001</v>
      </c>
      <c r="T13" s="145">
        <f t="shared" si="6"/>
        <v>1.189585966827039</v>
      </c>
      <c r="U13" s="73">
        <f>F13-травень!F13</f>
        <v>1104</v>
      </c>
      <c r="V13" s="98">
        <f>G13-травень!G13</f>
        <v>97.15000000000055</v>
      </c>
      <c r="W13" s="74">
        <f t="shared" si="10"/>
        <v>-1006.8499999999995</v>
      </c>
      <c r="X13" s="75">
        <f t="shared" si="7"/>
        <v>0.0879981884057976</v>
      </c>
      <c r="Y13" s="198">
        <f t="shared" si="8"/>
        <v>-0.006013033253664091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310.63</v>
      </c>
      <c r="G14" s="94">
        <v>307.62</v>
      </c>
      <c r="H14" s="71">
        <f t="shared" si="9"/>
        <v>-3.009999999999991</v>
      </c>
      <c r="I14" s="209">
        <f t="shared" si="0"/>
        <v>0.9903100151305412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707.53</v>
      </c>
      <c r="S14" s="74">
        <f t="shared" si="5"/>
        <v>-399.90999999999997</v>
      </c>
      <c r="T14" s="145">
        <f t="shared" si="6"/>
        <v>0.4347801506649895</v>
      </c>
      <c r="U14" s="73">
        <f>F14-травень!F14</f>
        <v>33</v>
      </c>
      <c r="V14" s="98">
        <f>G14-травень!G14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0.07158754236095372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 t="shared" si="9"/>
        <v>676.72</v>
      </c>
      <c r="I15" s="208">
        <f t="shared" si="0"/>
        <v>2.854027397260274</v>
      </c>
      <c r="J15" s="108">
        <f t="shared" si="1"/>
        <v>141.72000000000003</v>
      </c>
      <c r="K15" s="108">
        <f aca="true" t="shared" si="11" ref="K15:K23">G15/E15*100</f>
        <v>115.74666666666667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44.56</v>
      </c>
      <c r="S15" s="111">
        <f t="shared" si="5"/>
        <v>997.1600000000001</v>
      </c>
      <c r="T15" s="146">
        <f t="shared" si="6"/>
        <v>23.377917414721722</v>
      </c>
      <c r="U15" s="107">
        <f>F15-травень!F15</f>
        <v>0</v>
      </c>
      <c r="V15" s="110">
        <f>G15-травень!G15</f>
        <v>0</v>
      </c>
      <c r="W15" s="111">
        <f t="shared" si="10"/>
        <v>0</v>
      </c>
      <c r="X15" s="148" t="e">
        <f t="shared" si="7"/>
        <v>#DIV/0!</v>
      </c>
      <c r="Y15" s="197">
        <f t="shared" si="8"/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F16-травень!F16</f>
        <v>0</v>
      </c>
      <c r="V16" s="110">
        <f>G16-травень!G16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F17-травень!F17</f>
        <v>0</v>
      </c>
      <c r="V17" s="110">
        <f>G17-травень!G17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F18-травень!F18</f>
        <v>0</v>
      </c>
      <c r="V18" s="110">
        <f>G18-травень!G18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68623</v>
      </c>
      <c r="G19" s="158">
        <v>49730.8</v>
      </c>
      <c r="H19" s="102">
        <f t="shared" si="9"/>
        <v>-18892.199999999997</v>
      </c>
      <c r="I19" s="208">
        <f t="shared" si="12"/>
        <v>0.7246958016991388</v>
      </c>
      <c r="J19" s="108">
        <f t="shared" si="1"/>
        <v>-101997.2</v>
      </c>
      <c r="K19" s="108">
        <f t="shared" si="11"/>
        <v>32.776283876410425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53960.11</v>
      </c>
      <c r="S19" s="111">
        <f t="shared" si="5"/>
        <v>-4229.309999999998</v>
      </c>
      <c r="T19" s="146">
        <f t="shared" si="6"/>
        <v>0.9216215459901769</v>
      </c>
      <c r="U19" s="107">
        <f>F19-травень!F19</f>
        <v>12360</v>
      </c>
      <c r="V19" s="110">
        <f>G19-травень!G19</f>
        <v>1295.0900000000038</v>
      </c>
      <c r="W19" s="111">
        <f t="shared" si="10"/>
        <v>-11064.909999999996</v>
      </c>
      <c r="X19" s="148">
        <f t="shared" si="13"/>
        <v>0.10478074433656989</v>
      </c>
      <c r="Y19" s="197">
        <f t="shared" si="8"/>
        <v>-0.32255906749661367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27223</v>
      </c>
      <c r="G20" s="141">
        <v>21394.7</v>
      </c>
      <c r="H20" s="170">
        <f t="shared" si="9"/>
        <v>-5828.299999999999</v>
      </c>
      <c r="I20" s="211">
        <f t="shared" si="12"/>
        <v>0.785905300664879</v>
      </c>
      <c r="J20" s="171">
        <f t="shared" si="1"/>
        <v>-45313.3</v>
      </c>
      <c r="K20" s="171">
        <f t="shared" si="11"/>
        <v>32.07216525754033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31235.26</v>
      </c>
      <c r="S20" s="116">
        <f t="shared" si="5"/>
        <v>-9840.559999999998</v>
      </c>
      <c r="T20" s="172">
        <f t="shared" si="6"/>
        <v>0.6849534788569073</v>
      </c>
      <c r="U20" s="136">
        <f>F20-травень!F20</f>
        <v>5260</v>
      </c>
      <c r="V20" s="124">
        <f>G20-травень!G20</f>
        <v>75.59000000000015</v>
      </c>
      <c r="W20" s="116">
        <f t="shared" si="10"/>
        <v>-5184.41</v>
      </c>
      <c r="X20" s="180">
        <f t="shared" si="13"/>
        <v>0.014370722433460104</v>
      </c>
      <c r="Y20" s="197">
        <f t="shared" si="8"/>
        <v>-0.4133655700832267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7800</v>
      </c>
      <c r="G21" s="141">
        <v>5953.1</v>
      </c>
      <c r="H21" s="170">
        <f t="shared" si="9"/>
        <v>-1846.8999999999996</v>
      </c>
      <c r="I21" s="211">
        <f t="shared" si="12"/>
        <v>0.7632179487179488</v>
      </c>
      <c r="J21" s="171">
        <f t="shared" si="1"/>
        <v>-9742.9</v>
      </c>
      <c r="K21" s="171">
        <f t="shared" si="11"/>
        <v>37.927497451580024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4748.33</v>
      </c>
      <c r="S21" s="116">
        <f t="shared" si="5"/>
        <v>1204.7700000000004</v>
      </c>
      <c r="T21" s="172">
        <f t="shared" si="6"/>
        <v>1.2537249938399395</v>
      </c>
      <c r="U21" s="136">
        <f>F21-травень!F21</f>
        <v>1300</v>
      </c>
      <c r="V21" s="124">
        <f>G21-травень!G21</f>
        <v>19.710000000000036</v>
      </c>
      <c r="W21" s="116">
        <f t="shared" si="10"/>
        <v>-1280.29</v>
      </c>
      <c r="X21" s="180">
        <f t="shared" si="13"/>
        <v>0.01516153846153849</v>
      </c>
      <c r="Y21" s="197">
        <f t="shared" si="8"/>
        <v>0.0009224307668058707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33600</v>
      </c>
      <c r="G22" s="141">
        <v>22383.1</v>
      </c>
      <c r="H22" s="170">
        <f t="shared" si="9"/>
        <v>-11216.900000000001</v>
      </c>
      <c r="I22" s="211">
        <f t="shared" si="12"/>
        <v>0.6661636904761904</v>
      </c>
      <c r="J22" s="171">
        <f t="shared" si="1"/>
        <v>-46940.9</v>
      </c>
      <c r="K22" s="171">
        <f t="shared" si="11"/>
        <v>32.28766372396284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17976.52</v>
      </c>
      <c r="S22" s="116">
        <f t="shared" si="5"/>
        <v>4406.579999999998</v>
      </c>
      <c r="T22" s="172">
        <f t="shared" si="6"/>
        <v>1.2451297581511882</v>
      </c>
      <c r="U22" s="136">
        <f>F22-травень!F22</f>
        <v>5800</v>
      </c>
      <c r="V22" s="124">
        <f>G22-травень!G22</f>
        <v>1199.8899999999994</v>
      </c>
      <c r="W22" s="116">
        <f t="shared" si="10"/>
        <v>-4600.110000000001</v>
      </c>
      <c r="X22" s="180">
        <f t="shared" si="13"/>
        <v>0.20687758620689645</v>
      </c>
      <c r="Y22" s="197">
        <f t="shared" si="8"/>
        <v>-0.1788001684914846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228926.2</v>
      </c>
      <c r="G23" s="102">
        <f>G24+G43+G47+G42+G46</f>
        <v>221883.84999999998</v>
      </c>
      <c r="H23" s="102">
        <f t="shared" si="9"/>
        <v>-7042.350000000035</v>
      </c>
      <c r="I23" s="208">
        <f t="shared" si="12"/>
        <v>0.9692374660480101</v>
      </c>
      <c r="J23" s="108">
        <f t="shared" si="1"/>
        <v>-251783.34999999998</v>
      </c>
      <c r="K23" s="108">
        <f t="shared" si="11"/>
        <v>46.843828325034956</v>
      </c>
      <c r="L23" s="108"/>
      <c r="M23" s="108"/>
      <c r="N23" s="108"/>
      <c r="O23" s="108">
        <v>430705.5</v>
      </c>
      <c r="P23" s="108">
        <f t="shared" si="3"/>
        <v>42961.69999999995</v>
      </c>
      <c r="Q23" s="148">
        <f t="shared" si="4"/>
        <v>1.099747275110255</v>
      </c>
      <c r="R23" s="108">
        <v>203804.13</v>
      </c>
      <c r="S23" s="111">
        <f t="shared" si="5"/>
        <v>18079.719999999972</v>
      </c>
      <c r="T23" s="147">
        <f t="shared" si="6"/>
        <v>1.0887112542812551</v>
      </c>
      <c r="U23" s="107">
        <f>F23-травень!F23</f>
        <v>25789</v>
      </c>
      <c r="V23" s="110">
        <f>G23-травень!G23</f>
        <v>3064.6699999999837</v>
      </c>
      <c r="W23" s="111">
        <f t="shared" si="10"/>
        <v>-22724.330000000016</v>
      </c>
      <c r="X23" s="148">
        <f t="shared" si="13"/>
        <v>0.11883632556516281</v>
      </c>
      <c r="Y23" s="197">
        <f>T23-Q23</f>
        <v>-0.011036020828999904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102591.01000000001</v>
      </c>
      <c r="G24" s="158">
        <f>G25+G32+G35</f>
        <v>100289.70999999999</v>
      </c>
      <c r="H24" s="102">
        <f t="shared" si="9"/>
        <v>-2301.3000000000175</v>
      </c>
      <c r="I24" s="208">
        <f t="shared" si="12"/>
        <v>0.9775682099240468</v>
      </c>
      <c r="J24" s="108">
        <f t="shared" si="1"/>
        <v>-116552.29000000001</v>
      </c>
      <c r="K24" s="148">
        <f aca="true" t="shared" si="14" ref="K24:K41">G24/E24</f>
        <v>0.4625013143210263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99393.67</v>
      </c>
      <c r="S24" s="111">
        <f t="shared" si="5"/>
        <v>896.0399999999936</v>
      </c>
      <c r="T24" s="147">
        <f t="shared" si="6"/>
        <v>1.0090150610194792</v>
      </c>
      <c r="U24" s="107">
        <f>F24-травень!F24</f>
        <v>16888</v>
      </c>
      <c r="V24" s="110">
        <f>G24-травень!G24</f>
        <v>1110.3999999999942</v>
      </c>
      <c r="W24" s="111">
        <f t="shared" si="10"/>
        <v>-15777.600000000006</v>
      </c>
      <c r="X24" s="148">
        <f t="shared" si="13"/>
        <v>0.06575082899099918</v>
      </c>
      <c r="Y24" s="197">
        <f aca="true" t="shared" si="15" ref="Y24:Y100">T24-Q24</f>
        <v>-0.037362983812899486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12800.5</v>
      </c>
      <c r="G25" s="141">
        <v>13713.3</v>
      </c>
      <c r="H25" s="170">
        <f t="shared" si="9"/>
        <v>912.7999999999993</v>
      </c>
      <c r="I25" s="211">
        <f t="shared" si="12"/>
        <v>1.0713097144642787</v>
      </c>
      <c r="J25" s="171">
        <f t="shared" si="1"/>
        <v>-15070.7</v>
      </c>
      <c r="K25" s="180">
        <f t="shared" si="14"/>
        <v>0.47642092829349636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11085.53</v>
      </c>
      <c r="S25" s="116">
        <f t="shared" si="5"/>
        <v>2627.7699999999986</v>
      </c>
      <c r="T25" s="152">
        <f t="shared" si="6"/>
        <v>1.2370450488158886</v>
      </c>
      <c r="U25" s="136">
        <f>F25-травень!F25</f>
        <v>937</v>
      </c>
      <c r="V25" s="124">
        <f>G25-травень!G25</f>
        <v>329.6700000000001</v>
      </c>
      <c r="W25" s="116">
        <f t="shared" si="10"/>
        <v>-607.3299999999999</v>
      </c>
      <c r="X25" s="180">
        <f t="shared" si="13"/>
        <v>0.3518356456776949</v>
      </c>
      <c r="Y25" s="197">
        <f t="shared" si="15"/>
        <v>0.10444810286134998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308.61</v>
      </c>
      <c r="G26" s="139">
        <f>G28+G29</f>
        <v>929.75</v>
      </c>
      <c r="H26" s="158">
        <f t="shared" si="9"/>
        <v>621.14</v>
      </c>
      <c r="I26" s="212">
        <f t="shared" si="12"/>
        <v>3.012702115939211</v>
      </c>
      <c r="J26" s="176">
        <f t="shared" si="1"/>
        <v>-592.25</v>
      </c>
      <c r="K26" s="191">
        <f t="shared" si="14"/>
        <v>0.610873850197109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213.26</v>
      </c>
      <c r="S26" s="201">
        <f t="shared" si="5"/>
        <v>716.49</v>
      </c>
      <c r="T26" s="162">
        <f t="shared" si="6"/>
        <v>4.359701772484292</v>
      </c>
      <c r="U26" s="167">
        <f>F26-травень!F26</f>
        <v>16</v>
      </c>
      <c r="V26" s="167">
        <f>G26-квітень!G26</f>
        <v>231.46000000000004</v>
      </c>
      <c r="W26" s="176">
        <f t="shared" si="10"/>
        <v>215.46000000000004</v>
      </c>
      <c r="X26" s="191">
        <f t="shared" si="13"/>
        <v>14.466250000000002</v>
      </c>
      <c r="Y26" s="197">
        <f t="shared" si="15"/>
        <v>3.353680184662309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12491.89</v>
      </c>
      <c r="G27" s="139">
        <f>G30+G31</f>
        <v>12617.48</v>
      </c>
      <c r="H27" s="158">
        <f t="shared" si="9"/>
        <v>125.59000000000015</v>
      </c>
      <c r="I27" s="212">
        <f t="shared" si="12"/>
        <v>1.0100537228553885</v>
      </c>
      <c r="J27" s="176">
        <f t="shared" si="1"/>
        <v>-14644.52</v>
      </c>
      <c r="K27" s="191">
        <f t="shared" si="14"/>
        <v>0.4628229770376348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10872.26</v>
      </c>
      <c r="S27" s="201">
        <f t="shared" si="5"/>
        <v>1745.2199999999993</v>
      </c>
      <c r="T27" s="162">
        <f t="shared" si="6"/>
        <v>1.1605204437715801</v>
      </c>
      <c r="U27" s="167">
        <f>F27-травень!F27</f>
        <v>921</v>
      </c>
      <c r="V27" s="167">
        <f>G27-травень!G27</f>
        <v>93.57999999999811</v>
      </c>
      <c r="W27" s="176">
        <f t="shared" si="10"/>
        <v>-827.4200000000019</v>
      </c>
      <c r="X27" s="191">
        <f t="shared" si="13"/>
        <v>0.10160694896851043</v>
      </c>
      <c r="Y27" s="197">
        <f t="shared" si="15"/>
        <v>0.019912074680050296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142.8</v>
      </c>
      <c r="G28" s="206">
        <v>170.7</v>
      </c>
      <c r="H28" s="218">
        <f t="shared" si="9"/>
        <v>27.899999999999977</v>
      </c>
      <c r="I28" s="220">
        <f t="shared" si="12"/>
        <v>1.195378151260504</v>
      </c>
      <c r="J28" s="221">
        <f t="shared" si="1"/>
        <v>-145.3</v>
      </c>
      <c r="K28" s="222">
        <f t="shared" si="14"/>
        <v>0.5401898734177215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172</v>
      </c>
      <c r="S28" s="221">
        <f t="shared" si="5"/>
        <v>-1.3000000000000114</v>
      </c>
      <c r="T28" s="222">
        <f t="shared" si="6"/>
        <v>0.9924418604651162</v>
      </c>
      <c r="U28" s="206">
        <f>F28-травень!F28</f>
        <v>5</v>
      </c>
      <c r="V28" s="206">
        <f>G28-травень!G28</f>
        <v>0</v>
      </c>
      <c r="W28" s="221">
        <f t="shared" si="10"/>
        <v>-5</v>
      </c>
      <c r="X28" s="222">
        <f t="shared" si="13"/>
        <v>0</v>
      </c>
      <c r="Y28" s="465">
        <f t="shared" si="15"/>
        <v>-0.15285914348544738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165.81</v>
      </c>
      <c r="G29" s="206">
        <v>759.05</v>
      </c>
      <c r="H29" s="218">
        <f t="shared" si="9"/>
        <v>593.24</v>
      </c>
      <c r="I29" s="220">
        <f t="shared" si="12"/>
        <v>4.577830046438694</v>
      </c>
      <c r="J29" s="221">
        <f t="shared" si="1"/>
        <v>-446.95000000000005</v>
      </c>
      <c r="K29" s="222">
        <f t="shared" si="14"/>
        <v>0.6293946932006633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41.26</v>
      </c>
      <c r="S29" s="221">
        <f t="shared" si="5"/>
        <v>717.79</v>
      </c>
      <c r="T29" s="222">
        <f t="shared" si="6"/>
        <v>18.396752302472127</v>
      </c>
      <c r="U29" s="206">
        <f>F29-травень!F29</f>
        <v>11</v>
      </c>
      <c r="V29" s="206">
        <f>G29-травень!G29</f>
        <v>70.01999999999998</v>
      </c>
      <c r="W29" s="221">
        <f t="shared" si="10"/>
        <v>59.01999999999998</v>
      </c>
      <c r="X29" s="222">
        <f t="shared" si="13"/>
        <v>6.3654545454545435</v>
      </c>
      <c r="Y29" s="465">
        <f t="shared" si="15"/>
        <v>17.421797169810322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366.09</v>
      </c>
      <c r="G30" s="206">
        <v>1027.55</v>
      </c>
      <c r="H30" s="218">
        <f t="shared" si="9"/>
        <v>661.46</v>
      </c>
      <c r="I30" s="220">
        <f t="shared" si="12"/>
        <v>2.8068234587123384</v>
      </c>
      <c r="J30" s="221">
        <f t="shared" si="1"/>
        <v>-1327.45</v>
      </c>
      <c r="K30" s="222">
        <f t="shared" si="14"/>
        <v>0.4363269639065817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113.81</v>
      </c>
      <c r="S30" s="221">
        <f t="shared" si="5"/>
        <v>913.74</v>
      </c>
      <c r="T30" s="222">
        <f t="shared" si="6"/>
        <v>9.028644231614093</v>
      </c>
      <c r="U30" s="206">
        <f>F30-травень!F30</f>
        <v>21</v>
      </c>
      <c r="V30" s="206">
        <f>G30-травень!G30</f>
        <v>49.00999999999999</v>
      </c>
      <c r="W30" s="221">
        <f t="shared" si="10"/>
        <v>28.00999999999999</v>
      </c>
      <c r="X30" s="222">
        <f t="shared" si="13"/>
        <v>2.3338095238095233</v>
      </c>
      <c r="Y30" s="465">
        <f t="shared" si="15"/>
        <v>7.967952868028911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12125.8</v>
      </c>
      <c r="G31" s="206">
        <v>11589.93</v>
      </c>
      <c r="H31" s="218">
        <f t="shared" si="9"/>
        <v>-535.869999999999</v>
      </c>
      <c r="I31" s="220">
        <f t="shared" si="12"/>
        <v>0.9558074518794637</v>
      </c>
      <c r="J31" s="221">
        <f t="shared" si="1"/>
        <v>-13317.07</v>
      </c>
      <c r="K31" s="222">
        <f t="shared" si="14"/>
        <v>0.46532822098205323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10758.45</v>
      </c>
      <c r="S31" s="221">
        <f t="shared" si="5"/>
        <v>831.4799999999996</v>
      </c>
      <c r="T31" s="222">
        <f t="shared" si="6"/>
        <v>1.0772862261757037</v>
      </c>
      <c r="U31" s="206">
        <f>F31-травень!F31</f>
        <v>900</v>
      </c>
      <c r="V31" s="206">
        <f>G31-травень!G31</f>
        <v>44.56999999999971</v>
      </c>
      <c r="W31" s="221"/>
      <c r="X31" s="222">
        <f t="shared" si="13"/>
        <v>0.0495222222222219</v>
      </c>
      <c r="Y31" s="465">
        <f t="shared" si="15"/>
        <v>-0.0715060590616674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175.03</v>
      </c>
      <c r="G32" s="120">
        <v>524.71</v>
      </c>
      <c r="H32" s="170">
        <f t="shared" si="9"/>
        <v>349.68000000000006</v>
      </c>
      <c r="I32" s="211">
        <f t="shared" si="12"/>
        <v>2.997828943609667</v>
      </c>
      <c r="J32" s="171">
        <f t="shared" si="1"/>
        <v>242.71000000000004</v>
      </c>
      <c r="K32" s="180">
        <f t="shared" si="14"/>
        <v>1.8606737588652484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-89.23</v>
      </c>
      <c r="S32" s="121">
        <f t="shared" si="5"/>
        <v>613.94</v>
      </c>
      <c r="T32" s="150">
        <f t="shared" si="6"/>
        <v>-5.880421382942957</v>
      </c>
      <c r="U32" s="136">
        <f>F32-травень!F32</f>
        <v>1</v>
      </c>
      <c r="V32" s="124">
        <f>G32-травень!G32</f>
        <v>0</v>
      </c>
      <c r="W32" s="116">
        <f t="shared" si="10"/>
        <v>-1</v>
      </c>
      <c r="X32" s="180">
        <f t="shared" si="13"/>
        <v>0</v>
      </c>
      <c r="Y32" s="198">
        <f t="shared" si="15"/>
        <v>-6.3174545168734655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 t="shared" si="9"/>
        <v>150.72</v>
      </c>
      <c r="I33" s="209">
        <f t="shared" si="12"/>
        <v>6.411849192100538</v>
      </c>
      <c r="J33" s="72">
        <f t="shared" si="1"/>
        <v>78.57</v>
      </c>
      <c r="K33" s="75">
        <f t="shared" si="14"/>
        <v>1.7856999999999998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-243.4</v>
      </c>
      <c r="S33" s="72">
        <f t="shared" si="5"/>
        <v>421.97</v>
      </c>
      <c r="T33" s="75">
        <f t="shared" si="6"/>
        <v>-0.7336483155299918</v>
      </c>
      <c r="U33" s="73">
        <f>F33-травень!F33</f>
        <v>0</v>
      </c>
      <c r="V33" s="98">
        <f>G33-травень!G33</f>
        <v>0</v>
      </c>
      <c r="W33" s="74">
        <f t="shared" si="10"/>
        <v>0</v>
      </c>
      <c r="X33" s="75" t="e">
        <f t="shared" si="13"/>
        <v>#DIV/0!</v>
      </c>
      <c r="Y33" s="465">
        <f t="shared" si="15"/>
        <v>-1.1479671753244896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147.18</v>
      </c>
      <c r="G34" s="94">
        <v>346.14</v>
      </c>
      <c r="H34" s="71">
        <f t="shared" si="9"/>
        <v>198.95999999999998</v>
      </c>
      <c r="I34" s="209">
        <f t="shared" si="12"/>
        <v>2.3518141051773336</v>
      </c>
      <c r="J34" s="72">
        <f t="shared" si="1"/>
        <v>164.14</v>
      </c>
      <c r="K34" s="75">
        <f t="shared" si="14"/>
        <v>1.9018681318681319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154.17</v>
      </c>
      <c r="S34" s="72">
        <f t="shared" si="5"/>
        <v>191.97</v>
      </c>
      <c r="T34" s="75">
        <f t="shared" si="6"/>
        <v>2.245183887915937</v>
      </c>
      <c r="U34" s="73">
        <f>F34-травень!F34</f>
        <v>1</v>
      </c>
      <c r="V34" s="98">
        <f>G34-травень!G34</f>
        <v>0</v>
      </c>
      <c r="W34" s="74"/>
      <c r="X34" s="75">
        <f t="shared" si="13"/>
        <v>0</v>
      </c>
      <c r="Y34" s="465">
        <f t="shared" si="15"/>
        <v>1.7945884582410097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89615.48000000001</v>
      </c>
      <c r="G35" s="120">
        <v>86051.7</v>
      </c>
      <c r="H35" s="102">
        <f t="shared" si="9"/>
        <v>-3563.7800000000134</v>
      </c>
      <c r="I35" s="211">
        <f t="shared" si="12"/>
        <v>0.9602325401816738</v>
      </c>
      <c r="J35" s="171">
        <f t="shared" si="1"/>
        <v>-101724.3</v>
      </c>
      <c r="K35" s="180">
        <f t="shared" si="14"/>
        <v>0.45826782975460123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88397.37</v>
      </c>
      <c r="S35" s="122">
        <f t="shared" si="5"/>
        <v>-2345.6699999999983</v>
      </c>
      <c r="T35" s="149">
        <f t="shared" si="6"/>
        <v>0.9734644820315356</v>
      </c>
      <c r="U35" s="136">
        <f>F35-травень!F35</f>
        <v>15950</v>
      </c>
      <c r="V35" s="124">
        <f>G35-травень!G35</f>
        <v>780.7299999999959</v>
      </c>
      <c r="W35" s="116">
        <f t="shared" si="10"/>
        <v>-15169.270000000004</v>
      </c>
      <c r="X35" s="180">
        <f t="shared" si="13"/>
        <v>0.048948589341692536</v>
      </c>
      <c r="Y35" s="198">
        <f t="shared" si="15"/>
        <v>-0.06298929789568375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6" ref="E36:G37">E38+E40</f>
        <v>60690</v>
      </c>
      <c r="F36" s="139">
        <f t="shared" si="16"/>
        <v>29519.230000000003</v>
      </c>
      <c r="G36" s="139">
        <f>G38+G40</f>
        <v>34479.02</v>
      </c>
      <c r="H36" s="158">
        <f t="shared" si="9"/>
        <v>4959.789999999994</v>
      </c>
      <c r="I36" s="212">
        <f t="shared" si="12"/>
        <v>1.168018949003751</v>
      </c>
      <c r="J36" s="176">
        <f t="shared" si="1"/>
        <v>-26210.980000000003</v>
      </c>
      <c r="K36" s="191">
        <f t="shared" si="14"/>
        <v>0.5681169879716592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30657.95</v>
      </c>
      <c r="S36" s="140">
        <f t="shared" si="5"/>
        <v>3821.069999999996</v>
      </c>
      <c r="T36" s="162">
        <f t="shared" si="6"/>
        <v>1.1246355349917394</v>
      </c>
      <c r="U36" s="167">
        <f>F36-травень!F36</f>
        <v>5240</v>
      </c>
      <c r="V36" s="167">
        <f>G36-травень!G36</f>
        <v>74.61000000000058</v>
      </c>
      <c r="W36" s="176">
        <f t="shared" si="10"/>
        <v>-5165.389999999999</v>
      </c>
      <c r="X36" s="191">
        <f aca="true" t="shared" si="17" ref="X36:X41">V36/U36*100</f>
        <v>1.4238549618320722</v>
      </c>
      <c r="Y36" s="197">
        <f t="shared" si="15"/>
        <v>0.08912338900926708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6"/>
        <v>127086</v>
      </c>
      <c r="F37" s="139">
        <f t="shared" si="16"/>
        <v>60096.25</v>
      </c>
      <c r="G37" s="139">
        <f t="shared" si="16"/>
        <v>51199.229999999996</v>
      </c>
      <c r="H37" s="158">
        <f t="shared" si="9"/>
        <v>-8897.020000000004</v>
      </c>
      <c r="I37" s="212">
        <f t="shared" si="12"/>
        <v>0.8519538240738814</v>
      </c>
      <c r="J37" s="176">
        <f t="shared" si="1"/>
        <v>-75886.77</v>
      </c>
      <c r="K37" s="191">
        <f t="shared" si="14"/>
        <v>0.40287073320428685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57739.43</v>
      </c>
      <c r="S37" s="140">
        <f t="shared" si="5"/>
        <v>-6540.200000000004</v>
      </c>
      <c r="T37" s="162">
        <f t="shared" si="6"/>
        <v>0.8867290515337611</v>
      </c>
      <c r="U37" s="167">
        <f>F37-травень!F37</f>
        <v>10710</v>
      </c>
      <c r="V37" s="167">
        <f>G37-травень!G37</f>
        <v>332.66999999999825</v>
      </c>
      <c r="W37" s="176">
        <f t="shared" si="10"/>
        <v>-10377.330000000002</v>
      </c>
      <c r="X37" s="191">
        <f>V37/U37</f>
        <v>0.03106162464985978</v>
      </c>
      <c r="Y37" s="197">
        <f t="shared" si="15"/>
        <v>-0.15017501073041606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28084.4</v>
      </c>
      <c r="G38" s="206">
        <v>33847.81</v>
      </c>
      <c r="H38" s="218">
        <f t="shared" si="9"/>
        <v>5763.409999999996</v>
      </c>
      <c r="I38" s="220">
        <f t="shared" si="12"/>
        <v>1.2052174872883166</v>
      </c>
      <c r="J38" s="221">
        <f t="shared" si="1"/>
        <v>-23442.190000000002</v>
      </c>
      <c r="K38" s="222">
        <f t="shared" si="14"/>
        <v>0.5908153255367429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29331.06</v>
      </c>
      <c r="S38" s="221">
        <f t="shared" si="5"/>
        <v>4516.749999999996</v>
      </c>
      <c r="T38" s="222">
        <f t="shared" si="6"/>
        <v>1.1539920480200851</v>
      </c>
      <c r="U38" s="206">
        <f>F38-травень!F38</f>
        <v>4900</v>
      </c>
      <c r="V38" s="206">
        <f>G38-травень!G38</f>
        <v>58.779999999998836</v>
      </c>
      <c r="W38" s="221">
        <f t="shared" si="10"/>
        <v>-4841.220000000001</v>
      </c>
      <c r="X38" s="222">
        <f t="shared" si="17"/>
        <v>1.19959183673467</v>
      </c>
      <c r="Y38" s="465">
        <f t="shared" si="15"/>
        <v>0.11699839922154243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50193.45</v>
      </c>
      <c r="G39" s="206">
        <v>43089.27</v>
      </c>
      <c r="H39" s="218">
        <f t="shared" si="9"/>
        <v>-7104.18</v>
      </c>
      <c r="I39" s="220">
        <f t="shared" si="12"/>
        <v>0.8584640027732702</v>
      </c>
      <c r="J39" s="221">
        <f t="shared" si="1"/>
        <v>-62896.73</v>
      </c>
      <c r="K39" s="222">
        <f t="shared" si="14"/>
        <v>0.40655624327741396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48085.43</v>
      </c>
      <c r="S39" s="221">
        <f t="shared" si="5"/>
        <v>-4996.1600000000035</v>
      </c>
      <c r="T39" s="222">
        <f t="shared" si="6"/>
        <v>0.8960982567900505</v>
      </c>
      <c r="U39" s="206">
        <f>F39-травень!F39</f>
        <v>8600</v>
      </c>
      <c r="V39" s="206">
        <f>G39-травень!G39</f>
        <v>213.86999999999534</v>
      </c>
      <c r="W39" s="221">
        <f t="shared" si="10"/>
        <v>-8386.130000000005</v>
      </c>
      <c r="X39" s="222">
        <f t="shared" si="17"/>
        <v>2.4868604651162247</v>
      </c>
      <c r="Y39" s="465">
        <f t="shared" si="15"/>
        <v>-0.1409837916392721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1434.83</v>
      </c>
      <c r="G40" s="206">
        <v>631.21</v>
      </c>
      <c r="H40" s="218">
        <f t="shared" si="9"/>
        <v>-803.6199999999999</v>
      </c>
      <c r="I40" s="220">
        <f t="shared" si="12"/>
        <v>0.4399197117428546</v>
      </c>
      <c r="J40" s="221">
        <f t="shared" si="1"/>
        <v>-2768.79</v>
      </c>
      <c r="K40" s="222">
        <f t="shared" si="14"/>
        <v>0.18565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1326.89</v>
      </c>
      <c r="S40" s="221">
        <f t="shared" si="5"/>
        <v>-695.6800000000001</v>
      </c>
      <c r="T40" s="222">
        <f t="shared" si="6"/>
        <v>0.475706350940922</v>
      </c>
      <c r="U40" s="206">
        <f>F40-травень!F40</f>
        <v>340</v>
      </c>
      <c r="V40" s="206">
        <f>G40-травень!G40</f>
        <v>15.830000000000041</v>
      </c>
      <c r="W40" s="221">
        <f t="shared" si="10"/>
        <v>-324.16999999999996</v>
      </c>
      <c r="X40" s="222">
        <f t="shared" si="17"/>
        <v>4.655882352941189</v>
      </c>
      <c r="Y40" s="465">
        <f t="shared" si="15"/>
        <v>-0.5354641086063114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9902.8</v>
      </c>
      <c r="G41" s="206">
        <v>8109.96</v>
      </c>
      <c r="H41" s="218">
        <f t="shared" si="9"/>
        <v>-1792.8399999999992</v>
      </c>
      <c r="I41" s="220">
        <f t="shared" si="12"/>
        <v>0.8189562547966233</v>
      </c>
      <c r="J41" s="221">
        <f t="shared" si="1"/>
        <v>-12990.04</v>
      </c>
      <c r="K41" s="222">
        <f t="shared" si="14"/>
        <v>0.38435829383886255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9654</v>
      </c>
      <c r="S41" s="221">
        <f t="shared" si="5"/>
        <v>-1544.04</v>
      </c>
      <c r="T41" s="222">
        <f t="shared" si="6"/>
        <v>0.8400621504039776</v>
      </c>
      <c r="U41" s="206">
        <f>F41-травень!F41</f>
        <v>2109.999999999999</v>
      </c>
      <c r="V41" s="206">
        <f>G41-травень!G41</f>
        <v>118.80000000000018</v>
      </c>
      <c r="W41" s="221">
        <f t="shared" si="10"/>
        <v>-1991.199999999999</v>
      </c>
      <c r="X41" s="222">
        <f t="shared" si="17"/>
        <v>5.630331753554514</v>
      </c>
      <c r="Y41" s="465">
        <f t="shared" si="15"/>
        <v>-0.19594880479812304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F42-травень!F42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78.43</v>
      </c>
      <c r="G43" s="106">
        <v>81.65</v>
      </c>
      <c r="H43" s="102">
        <f t="shared" si="9"/>
        <v>3.219999999999999</v>
      </c>
      <c r="I43" s="208">
        <f>G43/F43</f>
        <v>1.0410557184750733</v>
      </c>
      <c r="J43" s="108">
        <f t="shared" si="1"/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79.23</v>
      </c>
      <c r="S43" s="108">
        <f t="shared" si="5"/>
        <v>2.4200000000000017</v>
      </c>
      <c r="T43" s="148">
        <f aca="true" t="shared" si="18" ref="T43:T51">G43/R43</f>
        <v>1.0305439858639405</v>
      </c>
      <c r="U43" s="107">
        <f>F43-травень!F43</f>
        <v>1</v>
      </c>
      <c r="V43" s="110">
        <f>G43-травень!G43</f>
        <v>0</v>
      </c>
      <c r="W43" s="111">
        <f t="shared" si="10"/>
        <v>-1</v>
      </c>
      <c r="X43" s="148">
        <f>V43/U43</f>
        <v>0</v>
      </c>
      <c r="Y43" s="466">
        <f t="shared" si="15"/>
        <v>-0.08155906221666154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48.9</v>
      </c>
      <c r="G44" s="94">
        <v>63.74</v>
      </c>
      <c r="H44" s="71">
        <f t="shared" si="9"/>
        <v>14.840000000000003</v>
      </c>
      <c r="I44" s="209">
        <f>G44/F44</f>
        <v>1.303476482617587</v>
      </c>
      <c r="J44" s="72">
        <f t="shared" si="1"/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48.26</v>
      </c>
      <c r="S44" s="72">
        <f t="shared" si="5"/>
        <v>15.480000000000004</v>
      </c>
      <c r="T44" s="75">
        <f t="shared" si="18"/>
        <v>1.3207625362619146</v>
      </c>
      <c r="U44" s="73">
        <f>F44-травень!F44</f>
        <v>1</v>
      </c>
      <c r="V44" s="98">
        <f>G44-травень!G44</f>
        <v>0</v>
      </c>
      <c r="W44" s="74">
        <f t="shared" si="10"/>
        <v>-1</v>
      </c>
      <c r="X44" s="75">
        <f>V44/U44</f>
        <v>0</v>
      </c>
      <c r="Y44" s="465">
        <f t="shared" si="15"/>
        <v>0.26022017763252636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 t="shared" si="9"/>
        <v>-11.620000000000001</v>
      </c>
      <c r="I45" s="209">
        <f>G45/F45</f>
        <v>0.6065018625126989</v>
      </c>
      <c r="J45" s="72">
        <f t="shared" si="1"/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30.97</v>
      </c>
      <c r="S45" s="72">
        <f t="shared" si="5"/>
        <v>-13.059999999999999</v>
      </c>
      <c r="T45" s="75">
        <f t="shared" si="18"/>
        <v>0.5783015821762997</v>
      </c>
      <c r="U45" s="73">
        <f>F45-травень!F45</f>
        <v>0</v>
      </c>
      <c r="V45" s="98">
        <f>G45-травень!G45</f>
        <v>0</v>
      </c>
      <c r="W45" s="74">
        <f t="shared" si="10"/>
        <v>0</v>
      </c>
      <c r="X45" s="75" t="e">
        <f>V45/U45</f>
        <v>#DIV/0!</v>
      </c>
      <c r="Y45" s="465">
        <f t="shared" si="15"/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 t="shared" si="9"/>
        <v>-21.01</v>
      </c>
      <c r="I46" s="208"/>
      <c r="J46" s="108">
        <f t="shared" si="1"/>
        <v>-21.01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-31.32</v>
      </c>
      <c r="S46" s="108">
        <f t="shared" si="5"/>
        <v>10.309999999999999</v>
      </c>
      <c r="T46" s="148">
        <f t="shared" si="18"/>
        <v>0.6708173690932312</v>
      </c>
      <c r="U46" s="107">
        <f>F46-травень!F46</f>
        <v>0</v>
      </c>
      <c r="V46" s="110">
        <f>G46-травень!G46</f>
        <v>0</v>
      </c>
      <c r="W46" s="111">
        <f t="shared" si="10"/>
        <v>0</v>
      </c>
      <c r="X46" s="148"/>
      <c r="Y46" s="197">
        <f t="shared" si="15"/>
        <v>0.6708173690932312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126256.76</v>
      </c>
      <c r="G47" s="113">
        <v>121533.5</v>
      </c>
      <c r="H47" s="102">
        <f t="shared" si="9"/>
        <v>-4723.259999999995</v>
      </c>
      <c r="I47" s="208">
        <f>G47/F47</f>
        <v>0.962590042703456</v>
      </c>
      <c r="J47" s="108">
        <f t="shared" si="1"/>
        <v>-135117.3</v>
      </c>
      <c r="K47" s="148">
        <f>G47/E47</f>
        <v>0.47353641601740576</v>
      </c>
      <c r="L47" s="108"/>
      <c r="M47" s="108"/>
      <c r="N47" s="108"/>
      <c r="O47" s="108">
        <v>223368.23</v>
      </c>
      <c r="P47" s="108">
        <f t="shared" si="3"/>
        <v>33282.56999999998</v>
      </c>
      <c r="Q47" s="148">
        <f t="shared" si="4"/>
        <v>1.1490031505375673</v>
      </c>
      <c r="R47" s="123">
        <v>104362.34</v>
      </c>
      <c r="S47" s="123">
        <f t="shared" si="5"/>
        <v>17171.160000000003</v>
      </c>
      <c r="T47" s="160">
        <f t="shared" si="18"/>
        <v>1.1645340646827198</v>
      </c>
      <c r="U47" s="107">
        <f>F47-травень!F47</f>
        <v>8900</v>
      </c>
      <c r="V47" s="110">
        <f>G47-травень!G47</f>
        <v>1954.2599999999948</v>
      </c>
      <c r="W47" s="111">
        <f t="shared" si="10"/>
        <v>-6945.740000000005</v>
      </c>
      <c r="X47" s="148">
        <f>V47/U47</f>
        <v>0.21957977528089828</v>
      </c>
      <c r="Y47" s="197">
        <f t="shared" si="15"/>
        <v>0.015530914145152508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F48-травень!F48</f>
        <v>0</v>
      </c>
      <c r="V48" s="98">
        <f>G48-травень!G48</f>
        <v>0</v>
      </c>
      <c r="W48" s="74">
        <f t="shared" si="10"/>
        <v>0</v>
      </c>
      <c r="X48" s="75"/>
      <c r="Y48" s="197">
        <f t="shared" si="15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26883.87</v>
      </c>
      <c r="G49" s="94">
        <v>23295.24</v>
      </c>
      <c r="H49" s="71">
        <f>G49-F49</f>
        <v>-3588.6299999999974</v>
      </c>
      <c r="I49" s="209">
        <f>G49/F49</f>
        <v>0.8665136381034428</v>
      </c>
      <c r="J49" s="72">
        <f t="shared" si="1"/>
        <v>-32419.76</v>
      </c>
      <c r="K49" s="75">
        <f>G49/E49</f>
        <v>0.4181143318675402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20288.06</v>
      </c>
      <c r="S49" s="85">
        <f t="shared" si="5"/>
        <v>3007.1800000000003</v>
      </c>
      <c r="T49" s="153">
        <f t="shared" si="18"/>
        <v>1.1482241278860572</v>
      </c>
      <c r="U49" s="73">
        <f>F49-травень!F49</f>
        <v>1400</v>
      </c>
      <c r="V49" s="98">
        <f>G49-травень!G49</f>
        <v>172.04000000000087</v>
      </c>
      <c r="W49" s="74">
        <f t="shared" si="10"/>
        <v>-1227.9599999999991</v>
      </c>
      <c r="X49" s="75">
        <f>V49/U49</f>
        <v>0.1228857142857149</v>
      </c>
      <c r="Y49" s="197">
        <f t="shared" si="15"/>
        <v>-0.08905278363626312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99340.49</v>
      </c>
      <c r="G50" s="94">
        <v>97101.75</v>
      </c>
      <c r="H50" s="71">
        <f>G50-F50</f>
        <v>-2238.7400000000052</v>
      </c>
      <c r="I50" s="209">
        <f>G50/F50</f>
        <v>0.9774639726459976</v>
      </c>
      <c r="J50" s="72">
        <f t="shared" si="1"/>
        <v>-103753.25</v>
      </c>
      <c r="K50" s="75">
        <f>G50/E50</f>
        <v>0.48344203529909635</v>
      </c>
      <c r="L50" s="72"/>
      <c r="M50" s="72"/>
      <c r="N50" s="72"/>
      <c r="O50" s="72">
        <v>178270.24</v>
      </c>
      <c r="P50" s="72">
        <f t="shared" si="3"/>
        <v>22584.76000000001</v>
      </c>
      <c r="Q50" s="75">
        <f t="shared" si="4"/>
        <v>1.1266883356414397</v>
      </c>
      <c r="R50" s="85">
        <v>84050.77</v>
      </c>
      <c r="S50" s="85">
        <f t="shared" si="5"/>
        <v>13050.979999999996</v>
      </c>
      <c r="T50" s="153">
        <f t="shared" si="18"/>
        <v>1.1552749605982193</v>
      </c>
      <c r="U50" s="73">
        <f>F50-травень!F50</f>
        <v>7500</v>
      </c>
      <c r="V50" s="98">
        <f>G50-травень!G50</f>
        <v>678.1199999999953</v>
      </c>
      <c r="W50" s="74">
        <f t="shared" si="10"/>
        <v>-6821.880000000005</v>
      </c>
      <c r="X50" s="75">
        <f>V50/U50</f>
        <v>0.09041599999999939</v>
      </c>
      <c r="Y50" s="197">
        <f t="shared" si="15"/>
        <v>0.02858662495677966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23.5</v>
      </c>
      <c r="S51" s="85">
        <f t="shared" si="5"/>
        <v>8.909999999999997</v>
      </c>
      <c r="T51" s="153">
        <f t="shared" si="18"/>
        <v>1.3791489361702127</v>
      </c>
      <c r="U51" s="73">
        <f>F51-травень!F51</f>
        <v>0</v>
      </c>
      <c r="V51" s="98">
        <f>G51-травень!G51</f>
        <v>0</v>
      </c>
      <c r="W51" s="74">
        <f t="shared" si="10"/>
        <v>0</v>
      </c>
      <c r="X51" s="75"/>
      <c r="Y51" s="197">
        <f t="shared" si="15"/>
        <v>0.184412872293235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F52-травень!F52</f>
        <v>0</v>
      </c>
      <c r="V52" s="99">
        <f>G52-травень!G52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27615.300000000003</v>
      </c>
      <c r="G53" s="103">
        <f>G54+G55+G56+G57+G58+G60+G62+G63+G64+G65+G66+G71+G72+G76+G59+G61+G77</f>
        <v>26995.250000000004</v>
      </c>
      <c r="H53" s="315">
        <f aca="true" t="shared" si="19" ref="H53:H79">G53-F53</f>
        <v>-620.0499999999993</v>
      </c>
      <c r="I53" s="143">
        <f aca="true" t="shared" si="20" ref="I53:I72">G53/F53</f>
        <v>0.9775468671352475</v>
      </c>
      <c r="J53" s="104">
        <f>G53-E53</f>
        <v>-23253.649999999998</v>
      </c>
      <c r="K53" s="156">
        <f aca="true" t="shared" si="21" ref="K53:K72">G53/E53</f>
        <v>0.5372306657459169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34058.47</v>
      </c>
      <c r="S53" s="103">
        <f t="shared" si="5"/>
        <v>-7063.2199999999975</v>
      </c>
      <c r="T53" s="143">
        <f>G53/R53</f>
        <v>0.7926148767105511</v>
      </c>
      <c r="U53" s="103">
        <f>U54+U55+U56+U57+U58+U60+U62+U63+U64+U65+U66+U71+U72+U76+U59+U61+U77</f>
        <v>4223.5</v>
      </c>
      <c r="V53" s="103">
        <f>V54+V55+V56+V57+V58+V60+V62+V63+V64+V65+V66+V71+V72+V76+V59+V61+V77</f>
        <v>2927.8700000000003</v>
      </c>
      <c r="W53" s="467">
        <f t="shared" si="10"/>
        <v>-1295.6299999999997</v>
      </c>
      <c r="X53" s="143">
        <f>V53/U53</f>
        <v>0.6932331005090565</v>
      </c>
      <c r="Y53" s="197">
        <f t="shared" si="15"/>
        <v>0.06836883694576246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 t="shared" si="19"/>
        <v>77.44999999999982</v>
      </c>
      <c r="I54" s="213">
        <f t="shared" si="20"/>
        <v>1.0292264150943395</v>
      </c>
      <c r="J54" s="115">
        <f>G54-E54</f>
        <v>77.44999999999982</v>
      </c>
      <c r="K54" s="155">
        <f t="shared" si="21"/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 t="shared" si="5"/>
        <v>522.6799999999998</v>
      </c>
      <c r="T54" s="155">
        <f>G54/R54</f>
        <v>1.237067812062029</v>
      </c>
      <c r="U54" s="107">
        <f>F54-травень!F54</f>
        <v>0</v>
      </c>
      <c r="V54" s="110">
        <f>G54-травень!G54</f>
        <v>0</v>
      </c>
      <c r="W54" s="111">
        <f t="shared" si="10"/>
        <v>0</v>
      </c>
      <c r="X54" s="155" t="e">
        <f>V54/U54</f>
        <v>#DIV/0!</v>
      </c>
      <c r="Y54" s="197">
        <f t="shared" si="15"/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4000.08</v>
      </c>
      <c r="G55" s="106">
        <v>4798.61</v>
      </c>
      <c r="H55" s="102">
        <f t="shared" si="19"/>
        <v>798.5299999999997</v>
      </c>
      <c r="I55" s="213">
        <f t="shared" si="20"/>
        <v>1.1996285074298514</v>
      </c>
      <c r="J55" s="115">
        <f aca="true" t="shared" si="22" ref="J55:J79">G55-E55</f>
        <v>-2201.3900000000003</v>
      </c>
      <c r="K55" s="155">
        <f t="shared" si="21"/>
        <v>0.6855157142857142</v>
      </c>
      <c r="L55" s="115"/>
      <c r="M55" s="115"/>
      <c r="N55" s="115"/>
      <c r="O55" s="115">
        <v>27997.6</v>
      </c>
      <c r="P55" s="115">
        <f aca="true" t="shared" si="23" ref="P55:P72">E55-O55</f>
        <v>-20997.6</v>
      </c>
      <c r="Q55" s="155">
        <f aca="true" t="shared" si="24" ref="Q55:Q72">E55/O55</f>
        <v>0.2500214304083207</v>
      </c>
      <c r="R55" s="115">
        <v>13353.64</v>
      </c>
      <c r="S55" s="115">
        <f t="shared" si="5"/>
        <v>-8555.029999999999</v>
      </c>
      <c r="T55" s="155">
        <f aca="true" t="shared" si="25" ref="T55:T79">G55/R55</f>
        <v>0.3593484622919294</v>
      </c>
      <c r="U55" s="107">
        <f>F55-травень!F55</f>
        <v>700</v>
      </c>
      <c r="V55" s="110">
        <f>G55-травень!G55</f>
        <v>1432.2399999999998</v>
      </c>
      <c r="W55" s="111">
        <f t="shared" si="10"/>
        <v>732.2399999999998</v>
      </c>
      <c r="X55" s="155">
        <f aca="true" t="shared" si="26" ref="X55:X78">V55/U55</f>
        <v>2.0460571428571424</v>
      </c>
      <c r="Y55" s="197">
        <f t="shared" si="15"/>
        <v>0.1093270318836087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70</v>
      </c>
      <c r="G56" s="106">
        <v>51.82</v>
      </c>
      <c r="H56" s="102">
        <f t="shared" si="19"/>
        <v>-18.18</v>
      </c>
      <c r="I56" s="213">
        <f t="shared" si="20"/>
        <v>0.7402857142857143</v>
      </c>
      <c r="J56" s="115">
        <f t="shared" si="22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3"/>
        <v>4.699999999999989</v>
      </c>
      <c r="Q56" s="155">
        <f t="shared" si="24"/>
        <v>1.030658838878017</v>
      </c>
      <c r="R56" s="117">
        <v>102.8</v>
      </c>
      <c r="S56" s="115">
        <f t="shared" si="5"/>
        <v>-50.98</v>
      </c>
      <c r="T56" s="155">
        <f t="shared" si="25"/>
        <v>0.5040856031128405</v>
      </c>
      <c r="U56" s="107">
        <f>F56-травень!F56</f>
        <v>14</v>
      </c>
      <c r="V56" s="110">
        <f>G56-травень!G56</f>
        <v>0</v>
      </c>
      <c r="W56" s="111">
        <f t="shared" si="10"/>
        <v>-14</v>
      </c>
      <c r="X56" s="155">
        <f t="shared" si="26"/>
        <v>0</v>
      </c>
      <c r="Y56" s="197">
        <f t="shared" si="15"/>
        <v>-0.5265732357651765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7</v>
      </c>
      <c r="G57" s="106">
        <v>2.02</v>
      </c>
      <c r="H57" s="102">
        <f t="shared" si="19"/>
        <v>-4.98</v>
      </c>
      <c r="I57" s="213">
        <f t="shared" si="20"/>
        <v>0.2885714285714286</v>
      </c>
      <c r="J57" s="115">
        <f t="shared" si="22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3"/>
        <v>0.05000000000000071</v>
      </c>
      <c r="Q57" s="225">
        <f t="shared" si="24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F57-травень!F57</f>
        <v>1</v>
      </c>
      <c r="V57" s="110">
        <f>G57-травень!G57</f>
        <v>0</v>
      </c>
      <c r="W57" s="111">
        <f t="shared" si="10"/>
        <v>-1</v>
      </c>
      <c r="X57" s="155">
        <f t="shared" si="26"/>
        <v>0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328.43</v>
      </c>
      <c r="G58" s="106">
        <v>614.5</v>
      </c>
      <c r="H58" s="102">
        <f t="shared" si="19"/>
        <v>286.07</v>
      </c>
      <c r="I58" s="213">
        <f t="shared" si="20"/>
        <v>1.871022744572664</v>
      </c>
      <c r="J58" s="115">
        <f t="shared" si="22"/>
        <v>-129.5</v>
      </c>
      <c r="K58" s="155">
        <f t="shared" si="21"/>
        <v>0.8259408602150538</v>
      </c>
      <c r="L58" s="115"/>
      <c r="M58" s="115"/>
      <c r="N58" s="115"/>
      <c r="O58" s="115">
        <v>705.31</v>
      </c>
      <c r="P58" s="115">
        <f t="shared" si="23"/>
        <v>38.690000000000055</v>
      </c>
      <c r="Q58" s="155">
        <f t="shared" si="24"/>
        <v>1.0548553118486907</v>
      </c>
      <c r="R58" s="115">
        <v>501.53</v>
      </c>
      <c r="S58" s="115">
        <f t="shared" si="5"/>
        <v>112.97000000000003</v>
      </c>
      <c r="T58" s="155">
        <f t="shared" si="25"/>
        <v>1.2252507327577613</v>
      </c>
      <c r="U58" s="107">
        <f>F58-травень!F58</f>
        <v>60</v>
      </c>
      <c r="V58" s="110">
        <f>G58-травень!G58</f>
        <v>69.72000000000003</v>
      </c>
      <c r="W58" s="111">
        <f t="shared" si="10"/>
        <v>9.720000000000027</v>
      </c>
      <c r="X58" s="155">
        <f t="shared" si="26"/>
        <v>1.1620000000000004</v>
      </c>
      <c r="Y58" s="197">
        <f t="shared" si="15"/>
        <v>0.17039542090907056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50</v>
      </c>
      <c r="G59" s="106">
        <v>48.18</v>
      </c>
      <c r="H59" s="102">
        <f t="shared" si="19"/>
        <v>-1.8200000000000003</v>
      </c>
      <c r="I59" s="213">
        <f t="shared" si="20"/>
        <v>0.9636</v>
      </c>
      <c r="J59" s="115">
        <f t="shared" si="22"/>
        <v>-67.32</v>
      </c>
      <c r="K59" s="155">
        <f t="shared" si="21"/>
        <v>0.41714285714285715</v>
      </c>
      <c r="L59" s="115"/>
      <c r="M59" s="115"/>
      <c r="N59" s="115"/>
      <c r="O59" s="115">
        <v>114.3</v>
      </c>
      <c r="P59" s="115">
        <f t="shared" si="23"/>
        <v>1.2000000000000028</v>
      </c>
      <c r="Q59" s="155">
        <f t="shared" si="24"/>
        <v>1.010498687664042</v>
      </c>
      <c r="R59" s="115">
        <v>71.01</v>
      </c>
      <c r="S59" s="115">
        <f t="shared" si="5"/>
        <v>-22.830000000000005</v>
      </c>
      <c r="T59" s="155">
        <f t="shared" si="25"/>
        <v>0.6784959864807774</v>
      </c>
      <c r="U59" s="107">
        <f>F59-травень!F59</f>
        <v>10</v>
      </c>
      <c r="V59" s="110">
        <f>G59-травень!G59</f>
        <v>0</v>
      </c>
      <c r="W59" s="111">
        <f t="shared" si="10"/>
        <v>-10</v>
      </c>
      <c r="X59" s="155">
        <f t="shared" si="26"/>
        <v>0</v>
      </c>
      <c r="Y59" s="197">
        <f t="shared" si="15"/>
        <v>-0.3320027011832647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614</v>
      </c>
      <c r="G60" s="106">
        <v>499.7</v>
      </c>
      <c r="H60" s="102">
        <f t="shared" si="19"/>
        <v>-114.30000000000001</v>
      </c>
      <c r="I60" s="213">
        <f t="shared" si="20"/>
        <v>0.813843648208469</v>
      </c>
      <c r="J60" s="115">
        <f t="shared" si="22"/>
        <v>-784.3</v>
      </c>
      <c r="K60" s="155">
        <f t="shared" si="21"/>
        <v>0.3891744548286604</v>
      </c>
      <c r="L60" s="115"/>
      <c r="M60" s="115"/>
      <c r="N60" s="115"/>
      <c r="O60" s="115">
        <v>1205.14</v>
      </c>
      <c r="P60" s="115">
        <f t="shared" si="23"/>
        <v>78.8599999999999</v>
      </c>
      <c r="Q60" s="155">
        <f t="shared" si="24"/>
        <v>1.0654363808354215</v>
      </c>
      <c r="R60" s="115">
        <v>628.92</v>
      </c>
      <c r="S60" s="115">
        <f t="shared" si="5"/>
        <v>-129.21999999999997</v>
      </c>
      <c r="T60" s="155">
        <f t="shared" si="25"/>
        <v>0.7945366660306558</v>
      </c>
      <c r="U60" s="107">
        <f>F60-травень!F60</f>
        <v>116</v>
      </c>
      <c r="V60" s="110">
        <f>G60-травень!G60</f>
        <v>25.939999999999998</v>
      </c>
      <c r="W60" s="111">
        <f t="shared" si="10"/>
        <v>-90.06</v>
      </c>
      <c r="X60" s="155">
        <f t="shared" si="26"/>
        <v>0.2236206896551724</v>
      </c>
      <c r="Y60" s="197">
        <f t="shared" si="15"/>
        <v>-0.2708997148047657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19"/>
        <v>0</v>
      </c>
      <c r="I61" s="213" t="e">
        <f t="shared" si="20"/>
        <v>#DIV/0!</v>
      </c>
      <c r="J61" s="115">
        <f t="shared" si="22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3"/>
        <v>-23.38</v>
      </c>
      <c r="Q61" s="155">
        <f t="shared" si="24"/>
        <v>0</v>
      </c>
      <c r="R61" s="115">
        <v>0</v>
      </c>
      <c r="S61" s="115">
        <f t="shared" si="5"/>
        <v>0</v>
      </c>
      <c r="T61" s="155"/>
      <c r="U61" s="107">
        <f>F61-травень!F61</f>
        <v>0</v>
      </c>
      <c r="V61" s="110">
        <f>G61-травень!G61</f>
        <v>0</v>
      </c>
      <c r="W61" s="111">
        <f t="shared" si="10"/>
        <v>0</v>
      </c>
      <c r="X61" s="155" t="e">
        <f t="shared" si="26"/>
        <v>#DIV/0!</v>
      </c>
      <c r="Y61" s="197">
        <f t="shared" si="15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12090</v>
      </c>
      <c r="G62" s="106">
        <v>11135.3</v>
      </c>
      <c r="H62" s="102">
        <f t="shared" si="19"/>
        <v>-954.7000000000007</v>
      </c>
      <c r="I62" s="213">
        <f t="shared" si="20"/>
        <v>0.9210339123242348</v>
      </c>
      <c r="J62" s="115">
        <f t="shared" si="22"/>
        <v>-11124.7</v>
      </c>
      <c r="K62" s="155">
        <f t="shared" si="21"/>
        <v>0.5002380952380953</v>
      </c>
      <c r="L62" s="115"/>
      <c r="M62" s="115"/>
      <c r="N62" s="115"/>
      <c r="O62" s="115">
        <v>20110.14</v>
      </c>
      <c r="P62" s="115">
        <f t="shared" si="23"/>
        <v>2149.8600000000006</v>
      </c>
      <c r="Q62" s="155">
        <f t="shared" si="24"/>
        <v>1.1069042781402816</v>
      </c>
      <c r="R62" s="115">
        <v>8364.31</v>
      </c>
      <c r="S62" s="115">
        <f t="shared" si="5"/>
        <v>2770.99</v>
      </c>
      <c r="T62" s="155">
        <f t="shared" si="25"/>
        <v>1.3312873387045674</v>
      </c>
      <c r="U62" s="107">
        <f>F62-травень!F62</f>
        <v>2000</v>
      </c>
      <c r="V62" s="110">
        <f>G62-травень!G62</f>
        <v>580.4200000000001</v>
      </c>
      <c r="W62" s="111">
        <f t="shared" si="10"/>
        <v>-1419.58</v>
      </c>
      <c r="X62" s="155">
        <f t="shared" si="26"/>
        <v>0.29021</v>
      </c>
      <c r="Y62" s="197">
        <f t="shared" si="15"/>
        <v>0.2243830605642858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377</v>
      </c>
      <c r="G63" s="106">
        <v>364.3</v>
      </c>
      <c r="H63" s="102">
        <f t="shared" si="19"/>
        <v>-12.699999999999989</v>
      </c>
      <c r="I63" s="213">
        <f t="shared" si="20"/>
        <v>0.9663129973474801</v>
      </c>
      <c r="J63" s="115">
        <f t="shared" si="22"/>
        <v>-402.7</v>
      </c>
      <c r="K63" s="155">
        <f t="shared" si="21"/>
        <v>0.47496740547588007</v>
      </c>
      <c r="L63" s="115"/>
      <c r="M63" s="115"/>
      <c r="N63" s="115"/>
      <c r="O63" s="115">
        <v>710.04</v>
      </c>
      <c r="P63" s="115">
        <f t="shared" si="23"/>
        <v>56.960000000000036</v>
      </c>
      <c r="Q63" s="155">
        <f t="shared" si="24"/>
        <v>1.0802208326291478</v>
      </c>
      <c r="R63" s="115">
        <v>262.81</v>
      </c>
      <c r="S63" s="115">
        <f t="shared" si="5"/>
        <v>101.49000000000001</v>
      </c>
      <c r="T63" s="155">
        <f t="shared" si="25"/>
        <v>1.3861725200715347</v>
      </c>
      <c r="U63" s="107">
        <f>F63-травень!F63</f>
        <v>64</v>
      </c>
      <c r="V63" s="110">
        <f>G63-травень!G63</f>
        <v>17.860000000000014</v>
      </c>
      <c r="W63" s="111">
        <f t="shared" si="10"/>
        <v>-46.139999999999986</v>
      </c>
      <c r="X63" s="155">
        <f t="shared" si="26"/>
        <v>0.2790625000000002</v>
      </c>
      <c r="Y63" s="197">
        <f t="shared" si="15"/>
        <v>0.3059516874423869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20</v>
      </c>
      <c r="G64" s="106">
        <v>15.9</v>
      </c>
      <c r="H64" s="102">
        <f t="shared" si="19"/>
        <v>-4.1</v>
      </c>
      <c r="I64" s="213">
        <f t="shared" si="20"/>
        <v>0.795</v>
      </c>
      <c r="J64" s="115">
        <f t="shared" si="22"/>
        <v>-28.1</v>
      </c>
      <c r="K64" s="155">
        <f t="shared" si="21"/>
        <v>0.3613636363636364</v>
      </c>
      <c r="L64" s="115"/>
      <c r="M64" s="115"/>
      <c r="N64" s="115"/>
      <c r="O64" s="115">
        <v>41.44</v>
      </c>
      <c r="P64" s="115">
        <f t="shared" si="23"/>
        <v>2.5600000000000023</v>
      </c>
      <c r="Q64" s="155">
        <f t="shared" si="24"/>
        <v>1.0617760617760619</v>
      </c>
      <c r="R64" s="115">
        <v>18.72</v>
      </c>
      <c r="S64" s="115">
        <f t="shared" si="5"/>
        <v>-2.8199999999999985</v>
      </c>
      <c r="T64" s="155">
        <f t="shared" si="25"/>
        <v>0.8493589743589745</v>
      </c>
      <c r="U64" s="107">
        <f>F64-травень!F64</f>
        <v>4</v>
      </c>
      <c r="V64" s="110">
        <f>G64-травень!G64</f>
        <v>1.08</v>
      </c>
      <c r="W64" s="111">
        <f t="shared" si="10"/>
        <v>-2.92</v>
      </c>
      <c r="X64" s="155">
        <f t="shared" si="26"/>
        <v>0.27</v>
      </c>
      <c r="Y64" s="197">
        <f t="shared" si="15"/>
        <v>-0.21241708741708742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3000</v>
      </c>
      <c r="G65" s="106">
        <v>3451.38</v>
      </c>
      <c r="H65" s="102">
        <f t="shared" si="19"/>
        <v>451.3800000000001</v>
      </c>
      <c r="I65" s="213">
        <f t="shared" si="20"/>
        <v>1.15046</v>
      </c>
      <c r="J65" s="115">
        <f t="shared" si="22"/>
        <v>-2548.62</v>
      </c>
      <c r="K65" s="155">
        <f t="shared" si="21"/>
        <v>0.57523</v>
      </c>
      <c r="L65" s="115"/>
      <c r="M65" s="115"/>
      <c r="N65" s="115"/>
      <c r="O65" s="115">
        <v>6545.96</v>
      </c>
      <c r="P65" s="115">
        <f t="shared" si="23"/>
        <v>-545.96</v>
      </c>
      <c r="Q65" s="155">
        <f t="shared" si="24"/>
        <v>0.9165958850955398</v>
      </c>
      <c r="R65" s="115">
        <v>3267.35</v>
      </c>
      <c r="S65" s="115">
        <f t="shared" si="5"/>
        <v>184.0300000000002</v>
      </c>
      <c r="T65" s="155">
        <f t="shared" si="25"/>
        <v>1.0563239322386644</v>
      </c>
      <c r="U65" s="107">
        <f>F65-травень!F65</f>
        <v>500</v>
      </c>
      <c r="V65" s="110">
        <f>G65-травень!G65</f>
        <v>611.9900000000002</v>
      </c>
      <c r="W65" s="111">
        <f t="shared" si="10"/>
        <v>111.99000000000024</v>
      </c>
      <c r="X65" s="155">
        <f t="shared" si="26"/>
        <v>1.2239800000000005</v>
      </c>
      <c r="Y65" s="197">
        <f t="shared" si="15"/>
        <v>0.1397280471431246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418.64</v>
      </c>
      <c r="G66" s="106">
        <v>311.1</v>
      </c>
      <c r="H66" s="102">
        <f t="shared" si="19"/>
        <v>-107.53999999999996</v>
      </c>
      <c r="I66" s="213">
        <f t="shared" si="20"/>
        <v>0.7431205809287217</v>
      </c>
      <c r="J66" s="115">
        <f t="shared" si="22"/>
        <v>-554.9</v>
      </c>
      <c r="K66" s="155">
        <f t="shared" si="21"/>
        <v>0.3592378752886836</v>
      </c>
      <c r="L66" s="115"/>
      <c r="M66" s="115"/>
      <c r="N66" s="115"/>
      <c r="O66" s="115">
        <v>896.22</v>
      </c>
      <c r="P66" s="115">
        <f t="shared" si="23"/>
        <v>-30.220000000000027</v>
      </c>
      <c r="Q66" s="155">
        <f t="shared" si="24"/>
        <v>0.9662806007453527</v>
      </c>
      <c r="R66" s="115">
        <v>388.42</v>
      </c>
      <c r="S66" s="115">
        <f t="shared" si="5"/>
        <v>-77.32</v>
      </c>
      <c r="T66" s="155">
        <f t="shared" si="25"/>
        <v>0.8009371299109211</v>
      </c>
      <c r="U66" s="107">
        <f>F66-травень!F66</f>
        <v>74.5</v>
      </c>
      <c r="V66" s="110">
        <f>G66-травень!G66</f>
        <v>14.170000000000016</v>
      </c>
      <c r="W66" s="111">
        <f t="shared" si="10"/>
        <v>-60.329999999999984</v>
      </c>
      <c r="X66" s="155">
        <f t="shared" si="26"/>
        <v>0.1902013422818794</v>
      </c>
      <c r="Y66" s="197">
        <f t="shared" si="15"/>
        <v>-0.16534347083443157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349.42</v>
      </c>
      <c r="G67" s="94">
        <v>240.26</v>
      </c>
      <c r="H67" s="71">
        <f t="shared" si="19"/>
        <v>-109.16000000000003</v>
      </c>
      <c r="I67" s="209">
        <f t="shared" si="20"/>
        <v>0.6875965886325911</v>
      </c>
      <c r="J67" s="72">
        <f t="shared" si="22"/>
        <v>-487.94000000000005</v>
      </c>
      <c r="K67" s="75">
        <f t="shared" si="21"/>
        <v>0.3299368305410601</v>
      </c>
      <c r="L67" s="72"/>
      <c r="M67" s="72"/>
      <c r="N67" s="72"/>
      <c r="O67" s="72">
        <v>760.62</v>
      </c>
      <c r="P67" s="72">
        <f t="shared" si="23"/>
        <v>-32.41999999999996</v>
      </c>
      <c r="Q67" s="75">
        <f t="shared" si="24"/>
        <v>0.957376876758434</v>
      </c>
      <c r="R67" s="72">
        <v>332.53</v>
      </c>
      <c r="S67" s="203">
        <f t="shared" si="5"/>
        <v>-92.26999999999998</v>
      </c>
      <c r="T67" s="204">
        <f t="shared" si="25"/>
        <v>0.7225212762758247</v>
      </c>
      <c r="U67" s="73">
        <f>F67-травень!F67</f>
        <v>63</v>
      </c>
      <c r="V67" s="98">
        <f>G67-травень!G67</f>
        <v>4.269999999999982</v>
      </c>
      <c r="W67" s="74">
        <f t="shared" si="10"/>
        <v>-58.73000000000002</v>
      </c>
      <c r="X67" s="75">
        <f t="shared" si="26"/>
        <v>0.06777777777777749</v>
      </c>
      <c r="Y67" s="197">
        <f t="shared" si="15"/>
        <v>-0.23485560048260923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0.4</v>
      </c>
      <c r="G68" s="94">
        <v>0.09</v>
      </c>
      <c r="H68" s="71">
        <f t="shared" si="19"/>
        <v>-0.31000000000000005</v>
      </c>
      <c r="I68" s="209">
        <f t="shared" si="20"/>
        <v>0.22499999999999998</v>
      </c>
      <c r="J68" s="72">
        <f t="shared" si="22"/>
        <v>-0.91</v>
      </c>
      <c r="K68" s="75">
        <f t="shared" si="21"/>
        <v>0.09</v>
      </c>
      <c r="L68" s="72"/>
      <c r="M68" s="72"/>
      <c r="N68" s="72"/>
      <c r="O68" s="72">
        <v>0.18</v>
      </c>
      <c r="P68" s="72">
        <f t="shared" si="23"/>
        <v>0.8200000000000001</v>
      </c>
      <c r="Q68" s="75">
        <f t="shared" si="24"/>
        <v>5.555555555555555</v>
      </c>
      <c r="R68" s="72">
        <v>0.15</v>
      </c>
      <c r="S68" s="203">
        <f t="shared" si="5"/>
        <v>-0.06</v>
      </c>
      <c r="T68" s="204">
        <f t="shared" si="25"/>
        <v>0.6</v>
      </c>
      <c r="U68" s="73">
        <f>F68-травень!F68</f>
        <v>0.10000000000000003</v>
      </c>
      <c r="V68" s="98">
        <f>G68-травень!G68</f>
        <v>0</v>
      </c>
      <c r="W68" s="74">
        <f t="shared" si="10"/>
        <v>-0.10000000000000003</v>
      </c>
      <c r="X68" s="75"/>
      <c r="Y68" s="197">
        <f t="shared" si="15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19"/>
        <v>0</v>
      </c>
      <c r="I69" s="209" t="e">
        <f t="shared" si="20"/>
        <v>#DIV/0!</v>
      </c>
      <c r="J69" s="72">
        <f t="shared" si="22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3"/>
        <v>0</v>
      </c>
      <c r="Q69" s="75" t="e">
        <f t="shared" si="24"/>
        <v>#DIV/0!</v>
      </c>
      <c r="R69" s="72">
        <f>O69</f>
        <v>0</v>
      </c>
      <c r="S69" s="203">
        <f t="shared" si="5"/>
        <v>0</v>
      </c>
      <c r="T69" s="204" t="e">
        <f t="shared" si="25"/>
        <v>#DIV/0!</v>
      </c>
      <c r="U69" s="73">
        <f>F69-травень!F69</f>
        <v>0</v>
      </c>
      <c r="V69" s="98">
        <f>G69-травень!G69</f>
        <v>0</v>
      </c>
      <c r="W69" s="74">
        <f t="shared" si="10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68.82</v>
      </c>
      <c r="G70" s="94">
        <v>62.21</v>
      </c>
      <c r="H70" s="71">
        <f t="shared" si="19"/>
        <v>-6.609999999999992</v>
      </c>
      <c r="I70" s="209">
        <f t="shared" si="20"/>
        <v>0.9039523394362106</v>
      </c>
      <c r="J70" s="72">
        <f t="shared" si="22"/>
        <v>-74.59</v>
      </c>
      <c r="K70" s="75">
        <f t="shared" si="21"/>
        <v>0.4547514619883041</v>
      </c>
      <c r="L70" s="72"/>
      <c r="M70" s="72"/>
      <c r="N70" s="72"/>
      <c r="O70" s="72">
        <v>135.42</v>
      </c>
      <c r="P70" s="72">
        <f t="shared" si="23"/>
        <v>1.3800000000000239</v>
      </c>
      <c r="Q70" s="75">
        <f t="shared" si="24"/>
        <v>1.01019051838724</v>
      </c>
      <c r="R70" s="72">
        <v>55.74</v>
      </c>
      <c r="S70" s="203">
        <f t="shared" si="5"/>
        <v>6.469999999999999</v>
      </c>
      <c r="T70" s="204">
        <f t="shared" si="25"/>
        <v>1.1160746322210262</v>
      </c>
      <c r="U70" s="73">
        <f>F70-травень!F70</f>
        <v>11.399999999999991</v>
      </c>
      <c r="V70" s="98">
        <f>G70-травень!G70</f>
        <v>1.3599999999999994</v>
      </c>
      <c r="W70" s="74">
        <f t="shared" si="10"/>
        <v>-10.039999999999992</v>
      </c>
      <c r="X70" s="75">
        <f t="shared" si="26"/>
        <v>0.11929824561403513</v>
      </c>
      <c r="Y70" s="197">
        <f t="shared" si="15"/>
        <v>0.10588411383378626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19"/>
        <v>-1.5</v>
      </c>
      <c r="I71" s="213">
        <f t="shared" si="20"/>
        <v>0</v>
      </c>
      <c r="J71" s="115">
        <f t="shared" si="22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3"/>
        <v>0.96</v>
      </c>
      <c r="Q71" s="155">
        <f t="shared" si="24"/>
        <v>1.4705882352941175</v>
      </c>
      <c r="R71" s="115">
        <v>2.04</v>
      </c>
      <c r="S71" s="115">
        <f t="shared" si="5"/>
        <v>-2.04</v>
      </c>
      <c r="T71" s="155">
        <f t="shared" si="25"/>
        <v>0</v>
      </c>
      <c r="U71" s="107">
        <f>F71-травень!F71</f>
        <v>0</v>
      </c>
      <c r="V71" s="110">
        <f>G71-травень!G71</f>
        <v>0</v>
      </c>
      <c r="W71" s="111">
        <f t="shared" si="10"/>
        <v>0</v>
      </c>
      <c r="X71" s="155"/>
      <c r="Y71" s="197">
        <f t="shared" si="15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3968.65</v>
      </c>
      <c r="G72" s="106">
        <v>2974.9</v>
      </c>
      <c r="H72" s="102">
        <f t="shared" si="19"/>
        <v>-993.75</v>
      </c>
      <c r="I72" s="213">
        <f t="shared" si="20"/>
        <v>0.7495999899210058</v>
      </c>
      <c r="J72" s="115">
        <f t="shared" si="22"/>
        <v>-5195.1</v>
      </c>
      <c r="K72" s="155">
        <f t="shared" si="21"/>
        <v>0.364124847001224</v>
      </c>
      <c r="L72" s="115"/>
      <c r="M72" s="115"/>
      <c r="N72" s="115"/>
      <c r="O72" s="115">
        <v>8086.92</v>
      </c>
      <c r="P72" s="115">
        <f t="shared" si="23"/>
        <v>83.07999999999993</v>
      </c>
      <c r="Q72" s="155">
        <f t="shared" si="24"/>
        <v>1.0102733797292418</v>
      </c>
      <c r="R72" s="115">
        <v>4834.79</v>
      </c>
      <c r="S72" s="115">
        <f t="shared" si="5"/>
        <v>-1859.8899999999999</v>
      </c>
      <c r="T72" s="155">
        <f t="shared" si="25"/>
        <v>0.6153111096862532</v>
      </c>
      <c r="U72" s="107">
        <f>F72-травень!F72</f>
        <v>680</v>
      </c>
      <c r="V72" s="110">
        <f>G72-травень!G72</f>
        <v>174.45000000000027</v>
      </c>
      <c r="W72" s="111">
        <f t="shared" si="10"/>
        <v>-505.5499999999997</v>
      </c>
      <c r="X72" s="155">
        <f t="shared" si="26"/>
        <v>0.2565441176470592</v>
      </c>
      <c r="Y72" s="197">
        <f t="shared" si="15"/>
        <v>-0.39496227004298856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19"/>
        <v>0</v>
      </c>
      <c r="I73" s="213" t="e">
        <f>G73/F73*100</f>
        <v>#DIV/0!</v>
      </c>
      <c r="J73" s="115">
        <f t="shared" si="22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5"/>
        <v>#DIV/0!</v>
      </c>
      <c r="U73" s="107">
        <f>F73-травень!F73</f>
        <v>0</v>
      </c>
      <c r="V73" s="110">
        <f>G73-травень!G73</f>
        <v>0</v>
      </c>
      <c r="W73" s="111">
        <f t="shared" si="10"/>
        <v>0</v>
      </c>
      <c r="X73" s="155" t="e">
        <f t="shared" si="26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5"/>
        <v>0</v>
      </c>
      <c r="U74" s="107">
        <f>F74-травень!F74</f>
        <v>0</v>
      </c>
      <c r="V74" s="110">
        <f>G74-травень!G74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19"/>
        <v>0</v>
      </c>
      <c r="I75" s="213" t="e">
        <f>G75/F75*100</f>
        <v>#DIV/0!</v>
      </c>
      <c r="J75" s="115">
        <f t="shared" si="22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5"/>
        <v>#DIV/0!</v>
      </c>
      <c r="U75" s="107">
        <f>F75-травень!F75</f>
        <v>0</v>
      </c>
      <c r="V75" s="110">
        <f>G75-травень!G75</f>
        <v>0</v>
      </c>
      <c r="W75" s="111">
        <f>V75-U75</f>
        <v>0</v>
      </c>
      <c r="X75" s="155" t="e">
        <f t="shared" si="26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19"/>
        <v>-20</v>
      </c>
      <c r="I76" s="213">
        <f>G76/F76</f>
        <v>0</v>
      </c>
      <c r="J76" s="115">
        <f t="shared" si="22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5"/>
        <v>0</v>
      </c>
      <c r="U76" s="107">
        <f>F76-травень!F76</f>
        <v>0</v>
      </c>
      <c r="V76" s="110">
        <f>G76-травень!G76</f>
        <v>0</v>
      </c>
      <c r="W76" s="111">
        <f>V76-U76</f>
        <v>0</v>
      </c>
      <c r="X76" s="155" t="e">
        <f t="shared" si="26"/>
        <v>#DIV/0!</v>
      </c>
      <c r="Y76" s="197">
        <f t="shared" si="15"/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 t="shared" si="19"/>
        <v>0.09</v>
      </c>
      <c r="I77" s="213"/>
      <c r="J77" s="115">
        <f t="shared" si="22"/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F77-травень!F77</f>
        <v>0</v>
      </c>
      <c r="V77" s="110">
        <f>G77-травень!G77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18.27</v>
      </c>
      <c r="G78" s="106">
        <v>5.62</v>
      </c>
      <c r="H78" s="102">
        <f t="shared" si="19"/>
        <v>-12.649999999999999</v>
      </c>
      <c r="I78" s="213">
        <f>G78/F78</f>
        <v>0.307608100711549</v>
      </c>
      <c r="J78" s="115">
        <f t="shared" si="22"/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25.38</v>
      </c>
      <c r="S78" s="115">
        <f t="shared" si="5"/>
        <v>-19.759999999999998</v>
      </c>
      <c r="T78" s="155">
        <f t="shared" si="25"/>
        <v>0.22143420015760443</v>
      </c>
      <c r="U78" s="107">
        <f>F78-травень!F78</f>
        <v>2.9000000000000004</v>
      </c>
      <c r="V78" s="110">
        <f>G78-травень!G78</f>
        <v>0</v>
      </c>
      <c r="W78" s="111">
        <f>V78-U78</f>
        <v>-2.9000000000000004</v>
      </c>
      <c r="X78" s="155">
        <f t="shared" si="26"/>
        <v>0</v>
      </c>
      <c r="Y78" s="197">
        <f t="shared" si="15"/>
        <v>-0.8013594877442074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 t="shared" si="19"/>
        <v>0.67</v>
      </c>
      <c r="I79" s="213" t="e">
        <f>G79/F79</f>
        <v>#DIV/0!</v>
      </c>
      <c r="J79" s="115">
        <f t="shared" si="22"/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 t="shared" si="5"/>
        <v>5.92</v>
      </c>
      <c r="T79" s="155">
        <f t="shared" si="25"/>
        <v>-0.12761904761904763</v>
      </c>
      <c r="U79" s="107">
        <f>F79-травень!F79</f>
        <v>0</v>
      </c>
      <c r="V79" s="110">
        <f>G79-травень!G79</f>
        <v>0</v>
      </c>
      <c r="W79" s="111">
        <f>V79-U79</f>
        <v>0</v>
      </c>
      <c r="X79" s="155"/>
      <c r="Y79" s="197">
        <f t="shared" si="15"/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789131.52</v>
      </c>
      <c r="G80" s="103">
        <f>G8+G53+G78+G79</f>
        <v>705697.95</v>
      </c>
      <c r="H80" s="103">
        <f>G80-F80</f>
        <v>-83433.57000000007</v>
      </c>
      <c r="I80" s="210">
        <f>G80/F80</f>
        <v>0.8942716544892287</v>
      </c>
      <c r="J80" s="104">
        <f>G80-E80</f>
        <v>-947836.8499999999</v>
      </c>
      <c r="K80" s="156">
        <f>G80/E80</f>
        <v>0.4267814321174251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643548.74</v>
      </c>
      <c r="S80" s="104">
        <f>G80-R80</f>
        <v>62149.20999999996</v>
      </c>
      <c r="T80" s="156">
        <f>G80/R80</f>
        <v>1.0965726543105343</v>
      </c>
      <c r="U80" s="103">
        <f>U8+U53+U78+U79</f>
        <v>128556.40000000005</v>
      </c>
      <c r="V80" s="103">
        <f>V8+V53+V78+V79</f>
        <v>32316.579999999998</v>
      </c>
      <c r="W80" s="135">
        <f>V80-U80</f>
        <v>-96239.82000000005</v>
      </c>
      <c r="X80" s="156">
        <f>V80/U80</f>
        <v>0.2513805613722847</v>
      </c>
      <c r="Y80" s="197">
        <f t="shared" si="15"/>
        <v>-0.08537086540358985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 t="shared" si="15"/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 t="shared" si="15"/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 t="shared" si="15"/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F85-травень!F85</f>
        <v>0</v>
      </c>
      <c r="V85" s="110">
        <f>G85-травень!G85</f>
        <v>0</v>
      </c>
      <c r="W85" s="117"/>
      <c r="X85" s="147"/>
      <c r="Y85" s="197" t="e">
        <f t="shared" si="15"/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F86-травень!F86</f>
        <v>0</v>
      </c>
      <c r="V86" s="110">
        <f>G86-травень!G86</f>
        <v>0</v>
      </c>
      <c r="W86" s="117">
        <f>V86-U86</f>
        <v>0</v>
      </c>
      <c r="X86" s="147"/>
      <c r="Y86" s="197">
        <f t="shared" si="15"/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 aca="true" t="shared" si="27" ref="S87:S99">G87-R87</f>
        <v>2.65</v>
      </c>
      <c r="T87" s="151">
        <f aca="true" t="shared" si="28" ref="T87:T102">G87/R87</f>
        <v>-0.003787878787878788</v>
      </c>
      <c r="U87" s="129">
        <f>F87-травень!F87</f>
        <v>0</v>
      </c>
      <c r="V87" s="174">
        <f>G87-травень!G87</f>
        <v>0</v>
      </c>
      <c r="W87" s="131">
        <f>V87-U87</f>
        <v>0</v>
      </c>
      <c r="X87" s="151"/>
      <c r="Y87" s="197">
        <f t="shared" si="15"/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 aca="true" t="shared" si="29" ref="H88:H99">G88-F88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 aca="true" t="shared" si="30" ref="P88:P99">E88-O88</f>
        <v>-35.57</v>
      </c>
      <c r="Q88" s="151">
        <f aca="true" t="shared" si="31" ref="Q88:Q99">E88/O88</f>
        <v>0</v>
      </c>
      <c r="R88" s="131">
        <v>35.57</v>
      </c>
      <c r="S88" s="131">
        <f t="shared" si="27"/>
        <v>-26.14</v>
      </c>
      <c r="T88" s="147"/>
      <c r="U88" s="129">
        <f>F88-травень!F88</f>
        <v>0</v>
      </c>
      <c r="V88" s="174">
        <f>G88-травень!G88</f>
        <v>0</v>
      </c>
      <c r="W88" s="131">
        <f aca="true" t="shared" si="32" ref="W88:W99">V88-U88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1500.03</v>
      </c>
      <c r="G89" s="126">
        <v>1597</v>
      </c>
      <c r="H89" s="112">
        <f t="shared" si="29"/>
        <v>96.97000000000003</v>
      </c>
      <c r="I89" s="213">
        <f>G89/F89</f>
        <v>1.0646453737591914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 t="shared" si="30"/>
        <v>7379.899</v>
      </c>
      <c r="Q89" s="147">
        <f t="shared" si="31"/>
        <v>8.866522054277613</v>
      </c>
      <c r="R89" s="117">
        <v>3.72</v>
      </c>
      <c r="S89" s="117">
        <f t="shared" si="27"/>
        <v>1593.28</v>
      </c>
      <c r="T89" s="147">
        <f t="shared" si="28"/>
        <v>429.30107526881716</v>
      </c>
      <c r="U89" s="112">
        <f>F89-травень!F89</f>
        <v>500</v>
      </c>
      <c r="V89" s="118">
        <f>G89-травень!G89</f>
        <v>0</v>
      </c>
      <c r="W89" s="117">
        <f t="shared" si="32"/>
        <v>-500</v>
      </c>
      <c r="X89" s="147">
        <f>V89/U89</f>
        <v>0</v>
      </c>
      <c r="Y89" s="197">
        <f t="shared" si="15"/>
        <v>420.43455321453956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5015</v>
      </c>
      <c r="G90" s="126">
        <v>1626.2</v>
      </c>
      <c r="H90" s="112">
        <f t="shared" si="29"/>
        <v>-3388.8</v>
      </c>
      <c r="I90" s="213">
        <f>G90/F90</f>
        <v>0.32426719840478563</v>
      </c>
      <c r="J90" s="117">
        <f aca="true" t="shared" si="33" ref="J90:J99">G90-E90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 t="shared" si="30"/>
        <v>8305.35</v>
      </c>
      <c r="Q90" s="147">
        <f t="shared" si="31"/>
        <v>2.0198559613932328</v>
      </c>
      <c r="R90" s="117">
        <v>1617.15</v>
      </c>
      <c r="S90" s="117">
        <f t="shared" si="27"/>
        <v>9.049999999999955</v>
      </c>
      <c r="T90" s="147">
        <f t="shared" si="28"/>
        <v>1.005596265034165</v>
      </c>
      <c r="U90" s="112">
        <f>F90-травень!F90</f>
        <v>1000</v>
      </c>
      <c r="V90" s="118">
        <f>G90-травень!G90</f>
        <v>0</v>
      </c>
      <c r="W90" s="117">
        <f t="shared" si="32"/>
        <v>-1000</v>
      </c>
      <c r="X90" s="147">
        <f>V90/U90</f>
        <v>0</v>
      </c>
      <c r="Y90" s="197">
        <f t="shared" si="15"/>
        <v>-1.0142596963590678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12000</v>
      </c>
      <c r="G91" s="126">
        <v>1815.53</v>
      </c>
      <c r="H91" s="112">
        <f t="shared" si="29"/>
        <v>-10184.47</v>
      </c>
      <c r="I91" s="213">
        <f>G91/F91</f>
        <v>0.15129416666666667</v>
      </c>
      <c r="J91" s="117">
        <f t="shared" si="33"/>
        <v>-20199.47</v>
      </c>
      <c r="K91" s="147">
        <f>G91/E91</f>
        <v>0.082467862820804</v>
      </c>
      <c r="L91" s="117"/>
      <c r="M91" s="117"/>
      <c r="N91" s="117"/>
      <c r="O91" s="117">
        <v>17305.88</v>
      </c>
      <c r="P91" s="117">
        <f t="shared" si="30"/>
        <v>4709.119999999999</v>
      </c>
      <c r="Q91" s="147">
        <f t="shared" si="31"/>
        <v>1.2721109819321526</v>
      </c>
      <c r="R91" s="117">
        <v>6568.22</v>
      </c>
      <c r="S91" s="117">
        <f t="shared" si="27"/>
        <v>-4752.6900000000005</v>
      </c>
      <c r="T91" s="147">
        <f t="shared" si="28"/>
        <v>0.2764112651525071</v>
      </c>
      <c r="U91" s="112">
        <f>F91-травень!F91</f>
        <v>2000</v>
      </c>
      <c r="V91" s="118">
        <f>G91-травень!G91</f>
        <v>3</v>
      </c>
      <c r="W91" s="117">
        <f t="shared" si="32"/>
        <v>-1997</v>
      </c>
      <c r="X91" s="147">
        <f>V91/U91</f>
        <v>0.0015</v>
      </c>
      <c r="Y91" s="197">
        <f t="shared" si="15"/>
        <v>-0.9956997167796455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12</v>
      </c>
      <c r="G92" s="126">
        <v>6</v>
      </c>
      <c r="H92" s="112">
        <f t="shared" si="29"/>
        <v>-6</v>
      </c>
      <c r="I92" s="213">
        <f>G92/F92</f>
        <v>0.5</v>
      </c>
      <c r="J92" s="117">
        <f t="shared" si="33"/>
        <v>-18</v>
      </c>
      <c r="K92" s="147">
        <f>G92/E92</f>
        <v>0.25</v>
      </c>
      <c r="L92" s="117"/>
      <c r="M92" s="117"/>
      <c r="N92" s="117"/>
      <c r="O92" s="117">
        <v>20</v>
      </c>
      <c r="P92" s="117">
        <f t="shared" si="30"/>
        <v>4</v>
      </c>
      <c r="Q92" s="147">
        <f t="shared" si="31"/>
        <v>1.2</v>
      </c>
      <c r="R92" s="117">
        <v>7</v>
      </c>
      <c r="S92" s="117">
        <f t="shared" si="27"/>
        <v>-1</v>
      </c>
      <c r="T92" s="147">
        <f t="shared" si="28"/>
        <v>0.8571428571428571</v>
      </c>
      <c r="U92" s="112">
        <f>F92-травень!F92</f>
        <v>2</v>
      </c>
      <c r="V92" s="118">
        <f>G92-травень!G92</f>
        <v>1</v>
      </c>
      <c r="W92" s="117">
        <f t="shared" si="32"/>
        <v>-1</v>
      </c>
      <c r="X92" s="147">
        <f>V92/U92</f>
        <v>0.5</v>
      </c>
      <c r="Y92" s="197">
        <f t="shared" si="15"/>
        <v>-0.34285714285714286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18527.03</v>
      </c>
      <c r="G93" s="128">
        <f>G89+G90+G91+G92</f>
        <v>5044.73</v>
      </c>
      <c r="H93" s="129">
        <f t="shared" si="29"/>
        <v>-13482.3</v>
      </c>
      <c r="I93" s="216">
        <f>G93/F93</f>
        <v>0.2722902699461274</v>
      </c>
      <c r="J93" s="131">
        <f t="shared" si="33"/>
        <v>-41761.30900000001</v>
      </c>
      <c r="K93" s="151">
        <f>G93/E93</f>
        <v>0.10777946837159194</v>
      </c>
      <c r="L93" s="131"/>
      <c r="M93" s="131"/>
      <c r="N93" s="131"/>
      <c r="O93" s="131">
        <v>26407.66</v>
      </c>
      <c r="P93" s="131">
        <f t="shared" si="30"/>
        <v>20398.379000000004</v>
      </c>
      <c r="Q93" s="151">
        <f t="shared" si="31"/>
        <v>1.772441746069133</v>
      </c>
      <c r="R93" s="131">
        <v>8196.1</v>
      </c>
      <c r="S93" s="117">
        <f t="shared" si="27"/>
        <v>-3151.370000000001</v>
      </c>
      <c r="T93" s="147">
        <f t="shared" si="28"/>
        <v>0.6155037151816107</v>
      </c>
      <c r="U93" s="129">
        <f>F93-травень!F93</f>
        <v>3502</v>
      </c>
      <c r="V93" s="174">
        <f>G93-травень!G93</f>
        <v>4</v>
      </c>
      <c r="W93" s="131">
        <f t="shared" si="32"/>
        <v>-3498</v>
      </c>
      <c r="X93" s="151">
        <f>V93/U93</f>
        <v>0.001142204454597373</v>
      </c>
      <c r="Y93" s="197">
        <f t="shared" si="15"/>
        <v>-1.1569380308875223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19</v>
      </c>
      <c r="G94" s="126">
        <v>1.43</v>
      </c>
      <c r="H94" s="112">
        <f t="shared" si="29"/>
        <v>-17.57</v>
      </c>
      <c r="I94" s="213"/>
      <c r="J94" s="117">
        <f t="shared" si="33"/>
        <v>-41.57</v>
      </c>
      <c r="K94" s="147"/>
      <c r="L94" s="117"/>
      <c r="M94" s="117"/>
      <c r="N94" s="117"/>
      <c r="O94" s="117">
        <v>49.17</v>
      </c>
      <c r="P94" s="117">
        <f t="shared" si="30"/>
        <v>-6.170000000000002</v>
      </c>
      <c r="Q94" s="147">
        <f t="shared" si="31"/>
        <v>0.8745169818995322</v>
      </c>
      <c r="R94" s="117">
        <v>35.31</v>
      </c>
      <c r="S94" s="117">
        <f t="shared" si="27"/>
        <v>-33.88</v>
      </c>
      <c r="T94" s="147">
        <f t="shared" si="28"/>
        <v>0.040498442367601244</v>
      </c>
      <c r="U94" s="112">
        <f>F94-травень!F94</f>
        <v>4</v>
      </c>
      <c r="V94" s="118">
        <f>G94-травень!G94</f>
        <v>0</v>
      </c>
      <c r="W94" s="117">
        <f t="shared" si="32"/>
        <v>-4</v>
      </c>
      <c r="X94" s="147"/>
      <c r="Y94" s="197">
        <f t="shared" si="15"/>
        <v>-0.834018539531931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 t="shared" si="29"/>
        <v>0</v>
      </c>
      <c r="I95" s="213"/>
      <c r="J95" s="117">
        <f t="shared" si="33"/>
        <v>0</v>
      </c>
      <c r="K95" s="224"/>
      <c r="L95" s="134"/>
      <c r="M95" s="134"/>
      <c r="N95" s="134"/>
      <c r="O95" s="134"/>
      <c r="P95" s="117">
        <f t="shared" si="30"/>
        <v>0</v>
      </c>
      <c r="Q95" s="147" t="e">
        <f t="shared" si="31"/>
        <v>#DIV/0!</v>
      </c>
      <c r="R95" s="117">
        <f>O95</f>
        <v>0</v>
      </c>
      <c r="S95" s="117">
        <f t="shared" si="27"/>
        <v>0</v>
      </c>
      <c r="T95" s="147" t="e">
        <f t="shared" si="28"/>
        <v>#DIV/0!</v>
      </c>
      <c r="U95" s="112">
        <f>F95-травень!F95</f>
        <v>0</v>
      </c>
      <c r="V95" s="118">
        <f>G95-травень!G95</f>
        <v>0</v>
      </c>
      <c r="W95" s="117">
        <f t="shared" si="32"/>
        <v>0</v>
      </c>
      <c r="X95" s="224"/>
      <c r="Y95" s="197" t="e">
        <f t="shared" si="15"/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5903.05</v>
      </c>
      <c r="G96" s="126">
        <v>5288.9</v>
      </c>
      <c r="H96" s="112">
        <f t="shared" si="29"/>
        <v>-614.1500000000005</v>
      </c>
      <c r="I96" s="213">
        <f>G96/F96</f>
        <v>0.8959605627599291</v>
      </c>
      <c r="J96" s="117">
        <f t="shared" si="33"/>
        <v>-3761.1000000000004</v>
      </c>
      <c r="K96" s="147">
        <f>G96/E96</f>
        <v>0.5844088397790055</v>
      </c>
      <c r="L96" s="117"/>
      <c r="M96" s="117"/>
      <c r="N96" s="117"/>
      <c r="O96" s="117">
        <v>8033.94</v>
      </c>
      <c r="P96" s="117">
        <f t="shared" si="30"/>
        <v>1016.0600000000004</v>
      </c>
      <c r="Q96" s="147">
        <f t="shared" si="31"/>
        <v>1.1264709470073215</v>
      </c>
      <c r="R96" s="117">
        <v>5104.01</v>
      </c>
      <c r="S96" s="117">
        <f t="shared" si="27"/>
        <v>184.88999999999942</v>
      </c>
      <c r="T96" s="147">
        <f t="shared" si="28"/>
        <v>1.0362244588078784</v>
      </c>
      <c r="U96" s="112">
        <f>F96-травень!F96</f>
        <v>1.1000000000003638</v>
      </c>
      <c r="V96" s="118">
        <f>G96-травень!G96</f>
        <v>0.17999999999938154</v>
      </c>
      <c r="W96" s="117">
        <f t="shared" si="32"/>
        <v>-0.9200000000009823</v>
      </c>
      <c r="X96" s="147">
        <f>V96/U96</f>
        <v>0.1636363636357473</v>
      </c>
      <c r="Y96" s="197">
        <f t="shared" si="15"/>
        <v>-0.09024648819944314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 t="shared" si="29"/>
        <v>0</v>
      </c>
      <c r="I97" s="213"/>
      <c r="J97" s="117">
        <f t="shared" si="33"/>
        <v>0</v>
      </c>
      <c r="K97" s="147"/>
      <c r="L97" s="117"/>
      <c r="M97" s="117"/>
      <c r="N97" s="117"/>
      <c r="O97" s="117">
        <v>0.1</v>
      </c>
      <c r="P97" s="117">
        <f t="shared" si="30"/>
        <v>-0.1</v>
      </c>
      <c r="Q97" s="147">
        <f t="shared" si="31"/>
        <v>0</v>
      </c>
      <c r="R97" s="117">
        <v>0</v>
      </c>
      <c r="S97" s="117">
        <f t="shared" si="27"/>
        <v>0</v>
      </c>
      <c r="T97" s="147" t="e">
        <f t="shared" si="28"/>
        <v>#DIV/0!</v>
      </c>
      <c r="U97" s="112">
        <f>F97-квітень!F97</f>
        <v>-2844.45</v>
      </c>
      <c r="V97" s="118">
        <f>G97-березень!G96</f>
        <v>0</v>
      </c>
      <c r="W97" s="117">
        <f t="shared" si="32"/>
        <v>2844.45</v>
      </c>
      <c r="X97" s="224"/>
      <c r="Y97" s="197" t="e">
        <f t="shared" si="15"/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5922.05</v>
      </c>
      <c r="G98" s="128">
        <f>G94+G97+G95+G96</f>
        <v>5290.33</v>
      </c>
      <c r="H98" s="129">
        <f t="shared" si="29"/>
        <v>-631.7200000000003</v>
      </c>
      <c r="I98" s="216">
        <f>G98/F98</f>
        <v>0.8933274795045634</v>
      </c>
      <c r="J98" s="131">
        <f t="shared" si="33"/>
        <v>-3802.67</v>
      </c>
      <c r="K98" s="151">
        <f>G98/E98</f>
        <v>0.5818024854283514</v>
      </c>
      <c r="L98" s="131"/>
      <c r="M98" s="131"/>
      <c r="N98" s="131"/>
      <c r="O98" s="131">
        <v>8083.21</v>
      </c>
      <c r="P98" s="131">
        <f t="shared" si="30"/>
        <v>1009.79</v>
      </c>
      <c r="Q98" s="151">
        <f t="shared" si="31"/>
        <v>1.1249243802895137</v>
      </c>
      <c r="R98" s="131">
        <v>5139.37</v>
      </c>
      <c r="S98" s="117">
        <f t="shared" si="27"/>
        <v>150.96000000000004</v>
      </c>
      <c r="T98" s="147">
        <f t="shared" si="28"/>
        <v>1.0293732500287</v>
      </c>
      <c r="U98" s="129">
        <f>F98-травень!F98</f>
        <v>5.100000000000364</v>
      </c>
      <c r="V98" s="174">
        <f>G98-травень!G98</f>
        <v>0.17999999999938154</v>
      </c>
      <c r="W98" s="131">
        <f t="shared" si="32"/>
        <v>-4.920000000000982</v>
      </c>
      <c r="X98" s="151">
        <f>V98/U98</f>
        <v>0.03529411764693504</v>
      </c>
      <c r="Y98" s="197">
        <f t="shared" si="15"/>
        <v>-0.09555113026081363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24.52</v>
      </c>
      <c r="G99" s="126">
        <v>18.69</v>
      </c>
      <c r="H99" s="112">
        <f t="shared" si="29"/>
        <v>-5.829999999999998</v>
      </c>
      <c r="I99" s="213">
        <f>G99/F99</f>
        <v>0.7622349102773247</v>
      </c>
      <c r="J99" s="117">
        <f t="shared" si="33"/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 t="shared" si="30"/>
        <v>9.452999999999996</v>
      </c>
      <c r="Q99" s="147">
        <f t="shared" si="31"/>
        <v>1.2490252897787144</v>
      </c>
      <c r="R99" s="131">
        <v>7.74</v>
      </c>
      <c r="S99" s="117">
        <f t="shared" si="27"/>
        <v>10.950000000000001</v>
      </c>
      <c r="T99" s="147">
        <f t="shared" si="28"/>
        <v>2.414728682170543</v>
      </c>
      <c r="U99" s="112">
        <f>F99-травень!F99</f>
        <v>8.77</v>
      </c>
      <c r="V99" s="118">
        <f>G99-травень!G99</f>
        <v>0</v>
      </c>
      <c r="W99" s="117">
        <f t="shared" si="32"/>
        <v>-8.77</v>
      </c>
      <c r="X99" s="147">
        <f>V99/U99</f>
        <v>0</v>
      </c>
      <c r="Y99" s="197">
        <f t="shared" si="15"/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 t="shared" si="28"/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 t="shared" si="15"/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24473.6</v>
      </c>
      <c r="G101" s="183">
        <f>G87+G88+G93+G98+G99</f>
        <v>10363.19</v>
      </c>
      <c r="H101" s="184">
        <f>G101-F101</f>
        <v>-14110.409999999998</v>
      </c>
      <c r="I101" s="217">
        <f>G101/F101</f>
        <v>0.4234436290533473</v>
      </c>
      <c r="J101" s="177">
        <f>G101-E101</f>
        <v>-45583.262</v>
      </c>
      <c r="K101" s="178">
        <f>G101/E101</f>
        <v>0.185234087766638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13376.14</v>
      </c>
      <c r="S101" s="177">
        <f>G101-R101</f>
        <v>-3012.949999999999</v>
      </c>
      <c r="T101" s="178">
        <f t="shared" si="28"/>
        <v>0.7747519089961679</v>
      </c>
      <c r="U101" s="183">
        <f>U87+U88+U93+U98+U99</f>
        <v>3515.8700000000003</v>
      </c>
      <c r="V101" s="183">
        <f>V87+V88+V93+V98+V99</f>
        <v>4.1799999999993815</v>
      </c>
      <c r="W101" s="177">
        <f>V101-U101</f>
        <v>-3511.690000000001</v>
      </c>
      <c r="X101" s="178">
        <f>V101/U101</f>
        <v>0.001188894925011272</v>
      </c>
      <c r="Y101" s="197">
        <f>T101-Q101</f>
        <v>-0.8439861359592846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813605.12</v>
      </c>
      <c r="G102" s="183">
        <f>G80+G101</f>
        <v>716061.1399999999</v>
      </c>
      <c r="H102" s="184">
        <f>G102-F102</f>
        <v>-97543.9800000001</v>
      </c>
      <c r="I102" s="217">
        <f>G102/F102</f>
        <v>0.8801089403173863</v>
      </c>
      <c r="J102" s="177">
        <f>G102-E102</f>
        <v>-993420.112</v>
      </c>
      <c r="K102" s="178">
        <f>G102/E102</f>
        <v>0.41887627557321694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656924.88</v>
      </c>
      <c r="S102" s="177">
        <f>S80+S101</f>
        <v>59136.259999999966</v>
      </c>
      <c r="T102" s="178">
        <f t="shared" si="28"/>
        <v>1.0900198208355267</v>
      </c>
      <c r="U102" s="184">
        <f>U80+U101</f>
        <v>132072.27000000005</v>
      </c>
      <c r="V102" s="184">
        <f>V80+V101</f>
        <v>32320.76</v>
      </c>
      <c r="W102" s="177">
        <f>V102-U102</f>
        <v>-99751.51000000005</v>
      </c>
      <c r="X102" s="178">
        <f>V102/U102</f>
        <v>0.2447202580829419</v>
      </c>
      <c r="Y102" s="197">
        <f>T102-Q102</f>
        <v>-0.10245441301544145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15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5562.238000000004</v>
      </c>
      <c r="H105" s="268"/>
      <c r="I105" s="268"/>
      <c r="J105" s="268"/>
      <c r="V105" s="267">
        <f>IF(W80&lt;0,ABS(W80/C104),0)</f>
        <v>6415.988000000003</v>
      </c>
    </row>
    <row r="106" spans="2:7" ht="30.75">
      <c r="B106" s="270" t="s">
        <v>163</v>
      </c>
      <c r="C106" s="271">
        <v>43258</v>
      </c>
      <c r="D106" s="267"/>
      <c r="E106" s="267">
        <v>13986</v>
      </c>
      <c r="F106" s="78"/>
      <c r="G106" s="4" t="s">
        <v>164</v>
      </c>
    </row>
    <row r="107" spans="3:10" ht="15">
      <c r="C107" s="271">
        <v>43257</v>
      </c>
      <c r="D107" s="267"/>
      <c r="E107" s="267">
        <v>6253.3</v>
      </c>
      <c r="F107" s="78"/>
      <c r="G107" s="469"/>
      <c r="H107" s="469"/>
      <c r="I107" s="273"/>
      <c r="J107" s="274"/>
    </row>
    <row r="108" spans="3:10" ht="15">
      <c r="C108" s="271">
        <v>43256</v>
      </c>
      <c r="D108" s="267"/>
      <c r="E108" s="267">
        <v>4842.4</v>
      </c>
      <c r="F108" s="78"/>
      <c r="G108" s="469"/>
      <c r="H108" s="469"/>
      <c r="I108" s="273"/>
      <c r="J108" s="276"/>
    </row>
    <row r="109" spans="3:10" ht="15">
      <c r="C109" s="271"/>
      <c r="D109" s="4"/>
      <c r="F109" s="278"/>
      <c r="G109" s="470"/>
      <c r="H109" s="470"/>
      <c r="I109" s="279"/>
      <c r="J109" s="274"/>
    </row>
    <row r="110" spans="2:10" ht="16.5">
      <c r="B110" s="471" t="s">
        <v>165</v>
      </c>
      <c r="C110" s="472"/>
      <c r="D110" s="280"/>
      <c r="E110" s="434">
        <f>'[1]залишки'!$G$6/1000</f>
        <v>1.88042</v>
      </c>
      <c r="F110" s="282" t="s">
        <v>166</v>
      </c>
      <c r="G110" s="469"/>
      <c r="H110" s="469"/>
      <c r="I110" s="283"/>
      <c r="J110" s="274"/>
    </row>
    <row r="111" spans="4:10" ht="15">
      <c r="D111" s="4"/>
      <c r="F111" s="278"/>
      <c r="G111" s="469"/>
      <c r="H111" s="469"/>
      <c r="I111" s="278"/>
      <c r="J111" s="281"/>
    </row>
    <row r="112" spans="2:10" ht="15" customHeight="1">
      <c r="B112" s="468"/>
      <c r="C112" s="468"/>
      <c r="D112" s="285"/>
      <c r="E112" s="286"/>
      <c r="F112" s="278"/>
      <c r="G112" s="469"/>
      <c r="H112" s="469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 aca="true" t="shared" si="34" ref="E113:W113">E60+E63+E64</f>
        <v>2095</v>
      </c>
      <c r="F113" s="278">
        <f t="shared" si="34"/>
        <v>1011</v>
      </c>
      <c r="G113" s="435">
        <f t="shared" si="34"/>
        <v>879.9</v>
      </c>
      <c r="H113" s="278">
        <f t="shared" si="34"/>
        <v>-131.1</v>
      </c>
      <c r="I113" s="436">
        <f>G113/F113</f>
        <v>0.870326409495549</v>
      </c>
      <c r="J113" s="278">
        <f t="shared" si="34"/>
        <v>-1215.1</v>
      </c>
      <c r="K113" s="436">
        <f>G113/E113</f>
        <v>0.42</v>
      </c>
      <c r="L113" s="278">
        <f t="shared" si="34"/>
        <v>0</v>
      </c>
      <c r="M113" s="278">
        <f t="shared" si="34"/>
        <v>0</v>
      </c>
      <c r="N113" s="278">
        <f t="shared" si="34"/>
        <v>0</v>
      </c>
      <c r="O113" s="278">
        <f t="shared" si="34"/>
        <v>1956.6200000000001</v>
      </c>
      <c r="P113" s="278">
        <f t="shared" si="34"/>
        <v>138.37999999999994</v>
      </c>
      <c r="Q113" s="436">
        <f>E113/O113</f>
        <v>1.0707240036389283</v>
      </c>
      <c r="R113" s="278">
        <f t="shared" si="34"/>
        <v>910.45</v>
      </c>
      <c r="S113" s="278">
        <f t="shared" si="34"/>
        <v>-30.54999999999996</v>
      </c>
      <c r="T113" s="436">
        <f>G113/R113</f>
        <v>0.9664451644791037</v>
      </c>
      <c r="U113" s="278">
        <f t="shared" si="34"/>
        <v>184</v>
      </c>
      <c r="V113" s="288">
        <f t="shared" si="34"/>
        <v>44.88000000000001</v>
      </c>
      <c r="W113" s="278">
        <f t="shared" si="34"/>
        <v>-139.11999999999998</v>
      </c>
      <c r="X113" s="436">
        <f>V113/U113</f>
        <v>0.24391304347826093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770146.77</v>
      </c>
      <c r="G115" s="289">
        <f>G9+G15+G18+G19+G23+G54+G57+G59+G71+G78+G94+G96</f>
        <v>686770.01</v>
      </c>
      <c r="H115" s="267">
        <f>H9+H15+H18+H19+H23+H54+H57+H59+H71+H78+H94+H96</f>
        <v>-83376.76000000004</v>
      </c>
      <c r="I115" s="163">
        <f>G115/F115</f>
        <v>0.8917391291532651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30879.710000000003</v>
      </c>
      <c r="G116" s="289">
        <f>G55+G58+G60+G63+G64+G65+G72+G76+G89+G90+G91+G92+G99</f>
        <v>17782.71</v>
      </c>
      <c r="H116" s="267">
        <f>H55+H58+H60+H63+H64+H65+H72+H76+H89+H90+H91+H92+H99</f>
        <v>-13097</v>
      </c>
      <c r="I116" s="163">
        <f>G116/F116</f>
        <v>0.575870369248934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12578.64</v>
      </c>
      <c r="G117" s="289">
        <f>G56+G62+G66+G79</f>
        <v>11498.89</v>
      </c>
      <c r="H117" s="267">
        <f>H56+H62+H66+H79</f>
        <v>-1079.7500000000005</v>
      </c>
      <c r="I117" s="163">
        <f>G117/F117</f>
        <v>0.9141600363791316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813605.12</v>
      </c>
      <c r="G118" s="440">
        <f>G115+G116+G117</f>
        <v>716051.61</v>
      </c>
      <c r="H118" s="439">
        <f>H115+H116+H117</f>
        <v>-97553.51000000004</v>
      </c>
      <c r="I118" s="441">
        <f>G118/F118</f>
        <v>0.8800972270184337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-9.529999999940628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 aca="true" t="shared" si="35" ref="I124:I131">G124/F124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 aca="true" t="shared" si="36" ref="E125:J125">E124+E101</f>
        <v>74048.512</v>
      </c>
      <c r="F125" s="295">
        <f t="shared" si="36"/>
        <v>44727.92</v>
      </c>
      <c r="G125" s="295">
        <f t="shared" si="36"/>
        <v>12515.449999999999</v>
      </c>
      <c r="H125" s="295">
        <f t="shared" si="36"/>
        <v>-32212.47</v>
      </c>
      <c r="I125" s="447">
        <f t="shared" si="35"/>
        <v>0.27981292221949955</v>
      </c>
      <c r="J125" s="295">
        <f t="shared" si="36"/>
        <v>-61533.062000000005</v>
      </c>
      <c r="K125" s="447">
        <f>G125/F125</f>
        <v>0.27981292221949955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 aca="true" t="shared" si="37" ref="E126:J126">E102+E124</f>
        <v>1727583.312</v>
      </c>
      <c r="F126" s="295">
        <f t="shared" si="37"/>
        <v>833859.44</v>
      </c>
      <c r="G126" s="295">
        <f t="shared" si="37"/>
        <v>718213.3999999999</v>
      </c>
      <c r="H126" s="295">
        <f t="shared" si="37"/>
        <v>-115646.0400000001</v>
      </c>
      <c r="I126" s="447">
        <f t="shared" si="35"/>
        <v>0.861312309422317</v>
      </c>
      <c r="J126" s="295">
        <f t="shared" si="37"/>
        <v>-1009369.912</v>
      </c>
      <c r="K126" s="447">
        <f>G126/F126</f>
        <v>0.861312309422317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 t="shared" si="35"/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 t="shared" si="35"/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 t="shared" si="35"/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 t="shared" si="35"/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 aca="true" t="shared" si="38" ref="E131:J131">E126+E127+E130</f>
        <v>3227258.512</v>
      </c>
      <c r="F131" s="314">
        <f t="shared" si="38"/>
        <v>1155946.17</v>
      </c>
      <c r="G131" s="314">
        <f t="shared" si="38"/>
        <v>718213.3999999999</v>
      </c>
      <c r="H131" s="314">
        <f t="shared" si="38"/>
        <v>-437732.7700000001</v>
      </c>
      <c r="I131" s="449">
        <f t="shared" si="35"/>
        <v>0.6213208007774271</v>
      </c>
      <c r="J131" s="314">
        <f t="shared" si="38"/>
        <v>-2509045.1119999997</v>
      </c>
      <c r="K131" s="449">
        <f>G131/E131</f>
        <v>0.22254597743857463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 aca="true" t="shared" si="39" ref="D139:X140">D17</f>
        <v>0</v>
      </c>
      <c r="E139" s="323">
        <f t="shared" si="39"/>
        <v>0</v>
      </c>
      <c r="F139" s="323">
        <f t="shared" si="39"/>
        <v>0</v>
      </c>
      <c r="G139" s="323">
        <f t="shared" si="39"/>
        <v>0</v>
      </c>
      <c r="H139" s="323">
        <f t="shared" si="39"/>
        <v>0</v>
      </c>
      <c r="I139" s="357">
        <f t="shared" si="39"/>
        <v>0</v>
      </c>
      <c r="J139" s="323">
        <f t="shared" si="39"/>
        <v>0</v>
      </c>
      <c r="K139" s="357">
        <f t="shared" si="39"/>
        <v>0</v>
      </c>
      <c r="L139" s="323">
        <f t="shared" si="39"/>
        <v>0</v>
      </c>
      <c r="M139" s="323">
        <f t="shared" si="39"/>
        <v>0</v>
      </c>
      <c r="N139" s="323">
        <f t="shared" si="39"/>
        <v>0</v>
      </c>
      <c r="O139" s="323">
        <f t="shared" si="39"/>
        <v>0.49</v>
      </c>
      <c r="P139" s="323">
        <f t="shared" si="39"/>
        <v>-0.49</v>
      </c>
      <c r="Q139" s="357">
        <f t="shared" si="39"/>
        <v>0</v>
      </c>
      <c r="R139" s="323">
        <f t="shared" si="39"/>
        <v>0</v>
      </c>
      <c r="S139" s="323">
        <f t="shared" si="39"/>
        <v>0</v>
      </c>
      <c r="T139" s="357" t="e">
        <f t="shared" si="39"/>
        <v>#DIV/0!</v>
      </c>
      <c r="U139" s="323">
        <f t="shared" si="39"/>
        <v>0</v>
      </c>
      <c r="V139" s="323">
        <f t="shared" si="39"/>
        <v>0</v>
      </c>
      <c r="W139" s="323">
        <f t="shared" si="39"/>
        <v>0</v>
      </c>
      <c r="X139" s="357">
        <f t="shared" si="39"/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 t="shared" si="39"/>
        <v>235.6</v>
      </c>
      <c r="E140" s="323">
        <f t="shared" si="39"/>
        <v>235.6</v>
      </c>
      <c r="F140" s="323">
        <f t="shared" si="39"/>
        <v>140.5</v>
      </c>
      <c r="G140" s="323">
        <f t="shared" si="39"/>
        <v>194.24</v>
      </c>
      <c r="H140" s="323">
        <f t="shared" si="39"/>
        <v>53.74000000000001</v>
      </c>
      <c r="I140" s="357">
        <f t="shared" si="39"/>
        <v>1.382491103202847</v>
      </c>
      <c r="J140" s="323">
        <f t="shared" si="39"/>
        <v>-41.359999999999985</v>
      </c>
      <c r="K140" s="357">
        <f t="shared" si="39"/>
        <v>82.44482173174873</v>
      </c>
      <c r="L140" s="323">
        <f t="shared" si="39"/>
        <v>0</v>
      </c>
      <c r="M140" s="323">
        <f t="shared" si="39"/>
        <v>0</v>
      </c>
      <c r="N140" s="323">
        <f t="shared" si="39"/>
        <v>0</v>
      </c>
      <c r="O140" s="323">
        <f t="shared" si="39"/>
        <v>220.59</v>
      </c>
      <c r="P140" s="323">
        <f t="shared" si="39"/>
        <v>15.009999999999991</v>
      </c>
      <c r="Q140" s="357">
        <f t="shared" si="39"/>
        <v>1.0680447889750215</v>
      </c>
      <c r="R140" s="323">
        <f t="shared" si="39"/>
        <v>118.46</v>
      </c>
      <c r="S140" s="323">
        <f t="shared" si="39"/>
        <v>75.78000000000002</v>
      </c>
      <c r="T140" s="357">
        <f t="shared" si="39"/>
        <v>1.639709606618268</v>
      </c>
      <c r="U140" s="323">
        <f t="shared" si="39"/>
        <v>0</v>
      </c>
      <c r="V140" s="323">
        <f t="shared" si="39"/>
        <v>0</v>
      </c>
      <c r="W140" s="323">
        <f t="shared" si="39"/>
        <v>0</v>
      </c>
      <c r="X140" s="357" t="e">
        <f t="shared" si="39"/>
        <v>#DIV/0!</v>
      </c>
      <c r="Y140" s="446">
        <f aca="true" t="shared" si="40" ref="Y140:Y162">T140-Q140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 aca="true" t="shared" si="41" ref="D141:X144">D56</f>
        <v>158</v>
      </c>
      <c r="E141" s="333">
        <f t="shared" si="41"/>
        <v>158</v>
      </c>
      <c r="F141" s="333">
        <f t="shared" si="41"/>
        <v>70</v>
      </c>
      <c r="G141" s="333">
        <f t="shared" si="41"/>
        <v>51.82</v>
      </c>
      <c r="H141" s="333">
        <f t="shared" si="41"/>
        <v>-18.18</v>
      </c>
      <c r="I141" s="442">
        <f t="shared" si="41"/>
        <v>0.7402857142857143</v>
      </c>
      <c r="J141" s="333">
        <f t="shared" si="41"/>
        <v>-106.18</v>
      </c>
      <c r="K141" s="442">
        <f t="shared" si="41"/>
        <v>0.3279746835443038</v>
      </c>
      <c r="L141" s="333">
        <f t="shared" si="41"/>
        <v>0</v>
      </c>
      <c r="M141" s="333">
        <f t="shared" si="41"/>
        <v>0</v>
      </c>
      <c r="N141" s="333">
        <f t="shared" si="41"/>
        <v>0</v>
      </c>
      <c r="O141" s="333">
        <f t="shared" si="41"/>
        <v>153.3</v>
      </c>
      <c r="P141" s="333">
        <f t="shared" si="41"/>
        <v>4.699999999999989</v>
      </c>
      <c r="Q141" s="442">
        <f t="shared" si="41"/>
        <v>1.030658838878017</v>
      </c>
      <c r="R141" s="333">
        <f t="shared" si="41"/>
        <v>102.8</v>
      </c>
      <c r="S141" s="333">
        <f t="shared" si="41"/>
        <v>-50.98</v>
      </c>
      <c r="T141" s="442">
        <f t="shared" si="41"/>
        <v>0.5040856031128405</v>
      </c>
      <c r="U141" s="333">
        <f t="shared" si="41"/>
        <v>14</v>
      </c>
      <c r="V141" s="333">
        <f t="shared" si="41"/>
        <v>0</v>
      </c>
      <c r="W141" s="333">
        <f t="shared" si="41"/>
        <v>-14</v>
      </c>
      <c r="X141" s="357">
        <f t="shared" si="41"/>
        <v>0</v>
      </c>
      <c r="Y141" s="446">
        <f t="shared" si="40"/>
        <v>-0.5265732357651765</v>
      </c>
      <c r="Z141" s="163"/>
    </row>
    <row r="142" spans="2:26" ht="30.75" hidden="1">
      <c r="B142" s="336" t="s">
        <v>34</v>
      </c>
      <c r="C142" s="337">
        <v>21080900</v>
      </c>
      <c r="D142" s="338">
        <f t="shared" si="41"/>
        <v>13</v>
      </c>
      <c r="E142" s="338">
        <f t="shared" si="41"/>
        <v>13</v>
      </c>
      <c r="F142" s="338">
        <f t="shared" si="41"/>
        <v>7</v>
      </c>
      <c r="G142" s="338">
        <f t="shared" si="41"/>
        <v>2.02</v>
      </c>
      <c r="H142" s="338">
        <f t="shared" si="41"/>
        <v>-4.98</v>
      </c>
      <c r="I142" s="443">
        <f t="shared" si="41"/>
        <v>0.2885714285714286</v>
      </c>
      <c r="J142" s="338">
        <f t="shared" si="41"/>
        <v>-10.98</v>
      </c>
      <c r="K142" s="443">
        <f t="shared" si="41"/>
        <v>0.1553846153846154</v>
      </c>
      <c r="L142" s="338">
        <f t="shared" si="41"/>
        <v>0</v>
      </c>
      <c r="M142" s="338">
        <f t="shared" si="41"/>
        <v>0</v>
      </c>
      <c r="N142" s="338">
        <f t="shared" si="41"/>
        <v>0</v>
      </c>
      <c r="O142" s="338">
        <f t="shared" si="41"/>
        <v>12.95</v>
      </c>
      <c r="P142" s="338">
        <f t="shared" si="41"/>
        <v>0.05000000000000071</v>
      </c>
      <c r="Q142" s="443">
        <f t="shared" si="41"/>
        <v>1.0038610038610039</v>
      </c>
      <c r="R142" s="338">
        <f t="shared" si="41"/>
        <v>2.03</v>
      </c>
      <c r="S142" s="338">
        <f t="shared" si="41"/>
        <v>-0.009999999999999787</v>
      </c>
      <c r="T142" s="443">
        <f t="shared" si="41"/>
        <v>0</v>
      </c>
      <c r="U142" s="338">
        <f t="shared" si="41"/>
        <v>1</v>
      </c>
      <c r="V142" s="338">
        <f t="shared" si="41"/>
        <v>0</v>
      </c>
      <c r="W142" s="338">
        <f t="shared" si="41"/>
        <v>-1</v>
      </c>
      <c r="X142" s="445">
        <f t="shared" si="41"/>
        <v>0</v>
      </c>
      <c r="Y142" s="446">
        <f t="shared" si="40"/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 t="shared" si="41"/>
        <v>744</v>
      </c>
      <c r="E143" s="323">
        <f t="shared" si="41"/>
        <v>744</v>
      </c>
      <c r="F143" s="323">
        <f t="shared" si="41"/>
        <v>328.43</v>
      </c>
      <c r="G143" s="323">
        <f t="shared" si="41"/>
        <v>614.5</v>
      </c>
      <c r="H143" s="323">
        <f t="shared" si="41"/>
        <v>286.07</v>
      </c>
      <c r="I143" s="357">
        <f t="shared" si="41"/>
        <v>1.871022744572664</v>
      </c>
      <c r="J143" s="323">
        <f t="shared" si="41"/>
        <v>-129.5</v>
      </c>
      <c r="K143" s="357">
        <f t="shared" si="41"/>
        <v>0.8259408602150538</v>
      </c>
      <c r="L143" s="323">
        <f t="shared" si="41"/>
        <v>0</v>
      </c>
      <c r="M143" s="323">
        <f t="shared" si="41"/>
        <v>0</v>
      </c>
      <c r="N143" s="323">
        <f t="shared" si="41"/>
        <v>0</v>
      </c>
      <c r="O143" s="323">
        <f t="shared" si="41"/>
        <v>705.31</v>
      </c>
      <c r="P143" s="323">
        <f t="shared" si="41"/>
        <v>38.690000000000055</v>
      </c>
      <c r="Q143" s="357">
        <f t="shared" si="41"/>
        <v>1.0548553118486907</v>
      </c>
      <c r="R143" s="323">
        <f t="shared" si="41"/>
        <v>501.53</v>
      </c>
      <c r="S143" s="323">
        <f t="shared" si="41"/>
        <v>112.97000000000003</v>
      </c>
      <c r="T143" s="357">
        <f t="shared" si="41"/>
        <v>1.2252507327577613</v>
      </c>
      <c r="U143" s="323">
        <f t="shared" si="41"/>
        <v>60</v>
      </c>
      <c r="V143" s="323">
        <f t="shared" si="41"/>
        <v>69.72000000000003</v>
      </c>
      <c r="W143" s="323">
        <f t="shared" si="41"/>
        <v>9.720000000000027</v>
      </c>
      <c r="X143" s="357">
        <f t="shared" si="41"/>
        <v>1.1620000000000004</v>
      </c>
      <c r="Y143" s="446">
        <f t="shared" si="40"/>
        <v>0.17039542090907056</v>
      </c>
      <c r="Z143" s="163"/>
    </row>
    <row r="144" spans="2:26" ht="46.5" hidden="1">
      <c r="B144" s="329" t="s">
        <v>67</v>
      </c>
      <c r="C144" s="322">
        <v>21081500</v>
      </c>
      <c r="D144" s="323">
        <f t="shared" si="41"/>
        <v>115.5</v>
      </c>
      <c r="E144" s="323">
        <f t="shared" si="41"/>
        <v>115.5</v>
      </c>
      <c r="F144" s="323">
        <f t="shared" si="41"/>
        <v>50</v>
      </c>
      <c r="G144" s="323">
        <f t="shared" si="41"/>
        <v>48.18</v>
      </c>
      <c r="H144" s="323">
        <f t="shared" si="41"/>
        <v>-1.8200000000000003</v>
      </c>
      <c r="I144" s="357">
        <f t="shared" si="41"/>
        <v>0.9636</v>
      </c>
      <c r="J144" s="323">
        <f t="shared" si="41"/>
        <v>-67.32</v>
      </c>
      <c r="K144" s="357">
        <f t="shared" si="41"/>
        <v>0.41714285714285715</v>
      </c>
      <c r="L144" s="323">
        <f t="shared" si="41"/>
        <v>0</v>
      </c>
      <c r="M144" s="323">
        <f t="shared" si="41"/>
        <v>0</v>
      </c>
      <c r="N144" s="323">
        <f t="shared" si="41"/>
        <v>0</v>
      </c>
      <c r="O144" s="323">
        <f t="shared" si="41"/>
        <v>114.3</v>
      </c>
      <c r="P144" s="323">
        <f t="shared" si="41"/>
        <v>1.2000000000000028</v>
      </c>
      <c r="Q144" s="357">
        <f t="shared" si="41"/>
        <v>1.010498687664042</v>
      </c>
      <c r="R144" s="323">
        <f t="shared" si="41"/>
        <v>71.01</v>
      </c>
      <c r="S144" s="323">
        <f t="shared" si="41"/>
        <v>-22.830000000000005</v>
      </c>
      <c r="T144" s="357">
        <f t="shared" si="41"/>
        <v>0.6784959864807774</v>
      </c>
      <c r="U144" s="323">
        <f t="shared" si="41"/>
        <v>10</v>
      </c>
      <c r="V144" s="323">
        <f t="shared" si="41"/>
        <v>0</v>
      </c>
      <c r="W144" s="323">
        <f t="shared" si="41"/>
        <v>-10</v>
      </c>
      <c r="X144" s="357">
        <f t="shared" si="41"/>
        <v>0</v>
      </c>
      <c r="Y144" s="446">
        <f t="shared" si="40"/>
        <v>-0.3320027011832647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 aca="true" t="shared" si="42" ref="E145:X145">E71</f>
        <v>3</v>
      </c>
      <c r="F145" s="323">
        <f t="shared" si="42"/>
        <v>1.5</v>
      </c>
      <c r="G145" s="323">
        <f t="shared" si="42"/>
        <v>0</v>
      </c>
      <c r="H145" s="323">
        <f t="shared" si="42"/>
        <v>-1.5</v>
      </c>
      <c r="I145" s="357">
        <f t="shared" si="42"/>
        <v>0</v>
      </c>
      <c r="J145" s="323">
        <f t="shared" si="42"/>
        <v>-3</v>
      </c>
      <c r="K145" s="357">
        <f t="shared" si="42"/>
        <v>0</v>
      </c>
      <c r="L145" s="323">
        <f t="shared" si="42"/>
        <v>0</v>
      </c>
      <c r="M145" s="323">
        <f t="shared" si="42"/>
        <v>0</v>
      </c>
      <c r="N145" s="323">
        <f t="shared" si="42"/>
        <v>0</v>
      </c>
      <c r="O145" s="323">
        <f t="shared" si="42"/>
        <v>2.04</v>
      </c>
      <c r="P145" s="323">
        <f t="shared" si="42"/>
        <v>0.96</v>
      </c>
      <c r="Q145" s="357">
        <f t="shared" si="42"/>
        <v>1.4705882352941175</v>
      </c>
      <c r="R145" s="323">
        <f t="shared" si="42"/>
        <v>2.04</v>
      </c>
      <c r="S145" s="323">
        <f t="shared" si="42"/>
        <v>-2.04</v>
      </c>
      <c r="T145" s="357">
        <f t="shared" si="42"/>
        <v>0</v>
      </c>
      <c r="U145" s="323">
        <f t="shared" si="42"/>
        <v>0</v>
      </c>
      <c r="V145" s="323">
        <f t="shared" si="42"/>
        <v>0</v>
      </c>
      <c r="W145" s="323">
        <f t="shared" si="42"/>
        <v>0</v>
      </c>
      <c r="X145" s="357">
        <f t="shared" si="42"/>
        <v>0</v>
      </c>
      <c r="Y145" s="446">
        <f t="shared" si="40"/>
        <v>-1.4705882352941175</v>
      </c>
      <c r="Z145" s="163"/>
    </row>
    <row r="146" spans="2:26" ht="30.75" hidden="1">
      <c r="B146" s="344" t="s">
        <v>39</v>
      </c>
      <c r="C146" s="322">
        <v>31010200</v>
      </c>
      <c r="D146" s="345">
        <f>D78</f>
        <v>35</v>
      </c>
      <c r="E146" s="345">
        <f aca="true" t="shared" si="43" ref="E146:X147">E78</f>
        <v>35</v>
      </c>
      <c r="F146" s="345">
        <f t="shared" si="43"/>
        <v>18.27</v>
      </c>
      <c r="G146" s="345">
        <f t="shared" si="43"/>
        <v>5.62</v>
      </c>
      <c r="H146" s="345">
        <f t="shared" si="43"/>
        <v>-12.649999999999999</v>
      </c>
      <c r="I146" s="444">
        <f t="shared" si="43"/>
        <v>0.307608100711549</v>
      </c>
      <c r="J146" s="345">
        <f t="shared" si="43"/>
        <v>-29.38</v>
      </c>
      <c r="K146" s="444">
        <f t="shared" si="43"/>
        <v>0.1605714285714286</v>
      </c>
      <c r="L146" s="345">
        <f t="shared" si="43"/>
        <v>0</v>
      </c>
      <c r="M146" s="345">
        <f t="shared" si="43"/>
        <v>0</v>
      </c>
      <c r="N146" s="345">
        <f t="shared" si="43"/>
        <v>0</v>
      </c>
      <c r="O146" s="345">
        <f t="shared" si="43"/>
        <v>34.22</v>
      </c>
      <c r="P146" s="345">
        <f t="shared" si="43"/>
        <v>0.7800000000000011</v>
      </c>
      <c r="Q146" s="444">
        <f t="shared" si="43"/>
        <v>1.0227936879018118</v>
      </c>
      <c r="R146" s="345">
        <f t="shared" si="43"/>
        <v>25.38</v>
      </c>
      <c r="S146" s="345">
        <f t="shared" si="43"/>
        <v>-19.759999999999998</v>
      </c>
      <c r="T146" s="444">
        <f t="shared" si="43"/>
        <v>0.22143420015760443</v>
      </c>
      <c r="U146" s="345">
        <f t="shared" si="43"/>
        <v>2.9000000000000004</v>
      </c>
      <c r="V146" s="345">
        <f t="shared" si="43"/>
        <v>0</v>
      </c>
      <c r="W146" s="345">
        <f t="shared" si="43"/>
        <v>-2.9000000000000004</v>
      </c>
      <c r="X146" s="444">
        <f t="shared" si="43"/>
        <v>0</v>
      </c>
      <c r="Y146" s="446">
        <f t="shared" si="40"/>
        <v>-0.8013594877442074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 t="shared" si="43"/>
        <v>0</v>
      </c>
      <c r="F147" s="345">
        <f t="shared" si="43"/>
        <v>0</v>
      </c>
      <c r="G147" s="345">
        <f t="shared" si="43"/>
        <v>0.67</v>
      </c>
      <c r="H147" s="345">
        <f t="shared" si="43"/>
        <v>0.67</v>
      </c>
      <c r="I147" s="444" t="e">
        <f t="shared" si="43"/>
        <v>#DIV/0!</v>
      </c>
      <c r="J147" s="345">
        <f t="shared" si="43"/>
        <v>0.67</v>
      </c>
      <c r="K147" s="444">
        <f t="shared" si="43"/>
        <v>0</v>
      </c>
      <c r="L147" s="345">
        <f t="shared" si="43"/>
        <v>0</v>
      </c>
      <c r="M147" s="345">
        <f t="shared" si="43"/>
        <v>0</v>
      </c>
      <c r="N147" s="345">
        <f t="shared" si="43"/>
        <v>0</v>
      </c>
      <c r="O147" s="345">
        <f t="shared" si="43"/>
        <v>-4.86</v>
      </c>
      <c r="P147" s="345">
        <f t="shared" si="43"/>
        <v>4.86</v>
      </c>
      <c r="Q147" s="444">
        <f t="shared" si="43"/>
        <v>0</v>
      </c>
      <c r="R147" s="345">
        <f t="shared" si="43"/>
        <v>-5.25</v>
      </c>
      <c r="S147" s="345">
        <f t="shared" si="43"/>
        <v>5.92</v>
      </c>
      <c r="T147" s="444">
        <f t="shared" si="43"/>
        <v>-0.12761904761904763</v>
      </c>
      <c r="U147" s="345">
        <f t="shared" si="43"/>
        <v>0</v>
      </c>
      <c r="V147" s="345">
        <f t="shared" si="43"/>
        <v>0</v>
      </c>
      <c r="W147" s="345">
        <f t="shared" si="43"/>
        <v>0</v>
      </c>
      <c r="X147" s="444">
        <f t="shared" si="43"/>
        <v>0</v>
      </c>
      <c r="Y147" s="446">
        <f t="shared" si="40"/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615.7</v>
      </c>
      <c r="G148" s="351">
        <f>SUM(G139:G147)</f>
        <v>917.05</v>
      </c>
      <c r="H148" s="351">
        <f>SUM(H139:H147)</f>
        <v>301.35</v>
      </c>
      <c r="I148" s="189">
        <f>G148/F148</f>
        <v>1.4894429105083642</v>
      </c>
      <c r="J148" s="351">
        <f>G148-E148</f>
        <v>-387.04999999999995</v>
      </c>
      <c r="K148" s="441">
        <f>G148/E148</f>
        <v>0.7032052756690438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817.9999999999999</v>
      </c>
      <c r="S148" s="351">
        <f>SUM(S139:S147)</f>
        <v>99.05000000000003</v>
      </c>
      <c r="T148" s="189">
        <f>G148/R148</f>
        <v>1.1210880195599022</v>
      </c>
      <c r="U148" s="351">
        <f>SUM(U139:U147)</f>
        <v>87.9</v>
      </c>
      <c r="V148" s="351">
        <f>SUM(V139:V147)</f>
        <v>69.72000000000003</v>
      </c>
      <c r="W148" s="351">
        <f>SUM(W139:W147)</f>
        <v>-18.17999999999997</v>
      </c>
      <c r="X148" s="189">
        <f>V148/U148</f>
        <v>0.7931740614334474</v>
      </c>
      <c r="Y148" s="189">
        <f t="shared" si="40"/>
        <v>0.0679846715294743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 aca="true" t="shared" si="44" ref="D151:X155">D60</f>
        <v>1284</v>
      </c>
      <c r="E151" s="323">
        <f t="shared" si="44"/>
        <v>1284</v>
      </c>
      <c r="F151" s="323">
        <f t="shared" si="44"/>
        <v>614</v>
      </c>
      <c r="G151" s="323">
        <f t="shared" si="44"/>
        <v>499.7</v>
      </c>
      <c r="H151" s="323">
        <f t="shared" si="44"/>
        <v>-114.30000000000001</v>
      </c>
      <c r="I151" s="357">
        <f t="shared" si="44"/>
        <v>0.813843648208469</v>
      </c>
      <c r="J151" s="323">
        <f t="shared" si="44"/>
        <v>-784.3</v>
      </c>
      <c r="K151" s="357">
        <f t="shared" si="44"/>
        <v>0.3891744548286604</v>
      </c>
      <c r="L151" s="323">
        <f t="shared" si="44"/>
        <v>0</v>
      </c>
      <c r="M151" s="323">
        <f t="shared" si="44"/>
        <v>0</v>
      </c>
      <c r="N151" s="323">
        <f t="shared" si="44"/>
        <v>0</v>
      </c>
      <c r="O151" s="323">
        <f t="shared" si="44"/>
        <v>1205.14</v>
      </c>
      <c r="P151" s="323">
        <f t="shared" si="44"/>
        <v>78.8599999999999</v>
      </c>
      <c r="Q151" s="357">
        <f t="shared" si="44"/>
        <v>1.0654363808354215</v>
      </c>
      <c r="R151" s="323">
        <f t="shared" si="44"/>
        <v>628.92</v>
      </c>
      <c r="S151" s="323">
        <f t="shared" si="44"/>
        <v>-129.21999999999997</v>
      </c>
      <c r="T151" s="357">
        <f t="shared" si="44"/>
        <v>0.7945366660306558</v>
      </c>
      <c r="U151" s="323">
        <f t="shared" si="44"/>
        <v>116</v>
      </c>
      <c r="V151" s="323">
        <f t="shared" si="44"/>
        <v>25.939999999999998</v>
      </c>
      <c r="W151" s="323">
        <f t="shared" si="44"/>
        <v>-90.06</v>
      </c>
      <c r="X151" s="357">
        <f t="shared" si="44"/>
        <v>0.2236206896551724</v>
      </c>
      <c r="Y151" s="446">
        <f t="shared" si="40"/>
        <v>-0.2708997148047657</v>
      </c>
    </row>
    <row r="152" spans="2:25" ht="15" hidden="1">
      <c r="B152" s="355" t="s">
        <v>106</v>
      </c>
      <c r="C152" s="356">
        <v>22010200</v>
      </c>
      <c r="D152" s="323">
        <f t="shared" si="44"/>
        <v>0</v>
      </c>
      <c r="E152" s="323">
        <f t="shared" si="44"/>
        <v>0</v>
      </c>
      <c r="F152" s="323">
        <f t="shared" si="44"/>
        <v>0</v>
      </c>
      <c r="G152" s="323">
        <f t="shared" si="44"/>
        <v>0</v>
      </c>
      <c r="H152" s="323">
        <f t="shared" si="44"/>
        <v>0</v>
      </c>
      <c r="I152" s="357" t="e">
        <f t="shared" si="44"/>
        <v>#DIV/0!</v>
      </c>
      <c r="J152" s="323">
        <f t="shared" si="44"/>
        <v>0</v>
      </c>
      <c r="K152" s="357" t="e">
        <f t="shared" si="44"/>
        <v>#DIV/0!</v>
      </c>
      <c r="L152" s="323">
        <f t="shared" si="44"/>
        <v>0</v>
      </c>
      <c r="M152" s="323">
        <f t="shared" si="44"/>
        <v>0</v>
      </c>
      <c r="N152" s="323">
        <f t="shared" si="44"/>
        <v>0</v>
      </c>
      <c r="O152" s="323">
        <f t="shared" si="44"/>
        <v>23.38</v>
      </c>
      <c r="P152" s="323">
        <f t="shared" si="44"/>
        <v>-23.38</v>
      </c>
      <c r="Q152" s="357">
        <f t="shared" si="44"/>
        <v>0</v>
      </c>
      <c r="R152" s="323">
        <f t="shared" si="44"/>
        <v>0</v>
      </c>
      <c r="S152" s="323">
        <f t="shared" si="44"/>
        <v>0</v>
      </c>
      <c r="T152" s="357">
        <f t="shared" si="44"/>
        <v>0</v>
      </c>
      <c r="U152" s="323">
        <f t="shared" si="44"/>
        <v>0</v>
      </c>
      <c r="V152" s="323">
        <f t="shared" si="44"/>
        <v>0</v>
      </c>
      <c r="W152" s="323">
        <f t="shared" si="44"/>
        <v>0</v>
      </c>
      <c r="X152" s="357" t="e">
        <f t="shared" si="44"/>
        <v>#DIV/0!</v>
      </c>
      <c r="Y152" s="446">
        <f t="shared" si="40"/>
        <v>0</v>
      </c>
    </row>
    <row r="153" spans="2:25" ht="15" hidden="1">
      <c r="B153" s="358" t="s">
        <v>65</v>
      </c>
      <c r="C153" s="359">
        <v>22012500</v>
      </c>
      <c r="D153" s="360">
        <f t="shared" si="44"/>
        <v>21260</v>
      </c>
      <c r="E153" s="360">
        <f t="shared" si="44"/>
        <v>22260</v>
      </c>
      <c r="F153" s="360">
        <f t="shared" si="44"/>
        <v>12090</v>
      </c>
      <c r="G153" s="360">
        <f t="shared" si="44"/>
        <v>11135.3</v>
      </c>
      <c r="H153" s="360">
        <f t="shared" si="44"/>
        <v>-954.7000000000007</v>
      </c>
      <c r="I153" s="362">
        <f t="shared" si="44"/>
        <v>0.9210339123242348</v>
      </c>
      <c r="J153" s="360">
        <f t="shared" si="44"/>
        <v>-11124.7</v>
      </c>
      <c r="K153" s="362">
        <f t="shared" si="44"/>
        <v>0.5002380952380953</v>
      </c>
      <c r="L153" s="360">
        <f t="shared" si="44"/>
        <v>0</v>
      </c>
      <c r="M153" s="360">
        <f t="shared" si="44"/>
        <v>0</v>
      </c>
      <c r="N153" s="360">
        <f t="shared" si="44"/>
        <v>0</v>
      </c>
      <c r="O153" s="360">
        <f t="shared" si="44"/>
        <v>20110.14</v>
      </c>
      <c r="P153" s="360">
        <f t="shared" si="44"/>
        <v>2149.8600000000006</v>
      </c>
      <c r="Q153" s="362">
        <f t="shared" si="44"/>
        <v>1.1069042781402816</v>
      </c>
      <c r="R153" s="360">
        <f t="shared" si="44"/>
        <v>8364.31</v>
      </c>
      <c r="S153" s="360">
        <f t="shared" si="44"/>
        <v>2770.99</v>
      </c>
      <c r="T153" s="362">
        <f t="shared" si="44"/>
        <v>1.3312873387045674</v>
      </c>
      <c r="U153" s="360">
        <f t="shared" si="44"/>
        <v>2000</v>
      </c>
      <c r="V153" s="360">
        <f t="shared" si="44"/>
        <v>580.4200000000001</v>
      </c>
      <c r="W153" s="360">
        <f t="shared" si="44"/>
        <v>-1419.58</v>
      </c>
      <c r="X153" s="362">
        <f t="shared" si="44"/>
        <v>0.29021</v>
      </c>
      <c r="Y153" s="446">
        <f t="shared" si="40"/>
        <v>0.2243830605642858</v>
      </c>
    </row>
    <row r="154" spans="2:25" ht="30.75" hidden="1">
      <c r="B154" s="358" t="s">
        <v>86</v>
      </c>
      <c r="C154" s="359">
        <v>22012600</v>
      </c>
      <c r="D154" s="360">
        <f t="shared" si="44"/>
        <v>767</v>
      </c>
      <c r="E154" s="360">
        <f t="shared" si="44"/>
        <v>767</v>
      </c>
      <c r="F154" s="360">
        <f t="shared" si="44"/>
        <v>377</v>
      </c>
      <c r="G154" s="360">
        <f t="shared" si="44"/>
        <v>364.3</v>
      </c>
      <c r="H154" s="360">
        <f t="shared" si="44"/>
        <v>-12.699999999999989</v>
      </c>
      <c r="I154" s="362">
        <f t="shared" si="44"/>
        <v>0.9663129973474801</v>
      </c>
      <c r="J154" s="360">
        <f t="shared" si="44"/>
        <v>-402.7</v>
      </c>
      <c r="K154" s="362">
        <f t="shared" si="44"/>
        <v>0.47496740547588007</v>
      </c>
      <c r="L154" s="360">
        <f t="shared" si="44"/>
        <v>0</v>
      </c>
      <c r="M154" s="360">
        <f t="shared" si="44"/>
        <v>0</v>
      </c>
      <c r="N154" s="360">
        <f t="shared" si="44"/>
        <v>0</v>
      </c>
      <c r="O154" s="360">
        <f t="shared" si="44"/>
        <v>710.04</v>
      </c>
      <c r="P154" s="360">
        <f t="shared" si="44"/>
        <v>56.960000000000036</v>
      </c>
      <c r="Q154" s="362">
        <f t="shared" si="44"/>
        <v>1.0802208326291478</v>
      </c>
      <c r="R154" s="360">
        <f t="shared" si="44"/>
        <v>262.81</v>
      </c>
      <c r="S154" s="360">
        <f t="shared" si="44"/>
        <v>101.49000000000001</v>
      </c>
      <c r="T154" s="362">
        <f t="shared" si="44"/>
        <v>1.3861725200715347</v>
      </c>
      <c r="U154" s="360">
        <f t="shared" si="44"/>
        <v>64</v>
      </c>
      <c r="V154" s="360">
        <f t="shared" si="44"/>
        <v>17.860000000000014</v>
      </c>
      <c r="W154" s="360">
        <f t="shared" si="44"/>
        <v>-46.139999999999986</v>
      </c>
      <c r="X154" s="362">
        <f t="shared" si="44"/>
        <v>0.2790625000000002</v>
      </c>
      <c r="Y154" s="446">
        <f t="shared" si="40"/>
        <v>0.3059516874423869</v>
      </c>
    </row>
    <row r="155" spans="2:25" ht="30.75" hidden="1">
      <c r="B155" s="358" t="s">
        <v>90</v>
      </c>
      <c r="C155" s="359">
        <v>22012900</v>
      </c>
      <c r="D155" s="360">
        <f t="shared" si="44"/>
        <v>44</v>
      </c>
      <c r="E155" s="360">
        <f t="shared" si="44"/>
        <v>44</v>
      </c>
      <c r="F155" s="360">
        <f t="shared" si="44"/>
        <v>20</v>
      </c>
      <c r="G155" s="360">
        <f t="shared" si="44"/>
        <v>15.9</v>
      </c>
      <c r="H155" s="360">
        <f t="shared" si="44"/>
        <v>-4.1</v>
      </c>
      <c r="I155" s="362">
        <f t="shared" si="44"/>
        <v>0.795</v>
      </c>
      <c r="J155" s="360">
        <f t="shared" si="44"/>
        <v>-28.1</v>
      </c>
      <c r="K155" s="362">
        <f t="shared" si="44"/>
        <v>0.3613636363636364</v>
      </c>
      <c r="L155" s="360">
        <f t="shared" si="44"/>
        <v>0</v>
      </c>
      <c r="M155" s="360">
        <f t="shared" si="44"/>
        <v>0</v>
      </c>
      <c r="N155" s="360">
        <f t="shared" si="44"/>
        <v>0</v>
      </c>
      <c r="O155" s="360">
        <f t="shared" si="44"/>
        <v>41.44</v>
      </c>
      <c r="P155" s="360">
        <f t="shared" si="44"/>
        <v>2.5600000000000023</v>
      </c>
      <c r="Q155" s="362">
        <f t="shared" si="44"/>
        <v>1.0617760617760619</v>
      </c>
      <c r="R155" s="360">
        <f t="shared" si="44"/>
        <v>18.72</v>
      </c>
      <c r="S155" s="360">
        <f t="shared" si="44"/>
        <v>-2.8199999999999985</v>
      </c>
      <c r="T155" s="362">
        <f t="shared" si="44"/>
        <v>0.8493589743589745</v>
      </c>
      <c r="U155" s="360">
        <f t="shared" si="44"/>
        <v>4</v>
      </c>
      <c r="V155" s="360">
        <f t="shared" si="44"/>
        <v>1.08</v>
      </c>
      <c r="W155" s="360">
        <f t="shared" si="44"/>
        <v>-2.92</v>
      </c>
      <c r="X155" s="362">
        <f t="shared" si="44"/>
        <v>0.27</v>
      </c>
      <c r="Y155" s="446">
        <f t="shared" si="40"/>
        <v>-0.21241708741708742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 aca="true" t="shared" si="45" ref="E156:W156">SUM(E151:E155)</f>
        <v>24355</v>
      </c>
      <c r="F156" s="351">
        <f t="shared" si="45"/>
        <v>13101</v>
      </c>
      <c r="G156" s="351">
        <f t="shared" si="45"/>
        <v>12015.199999999999</v>
      </c>
      <c r="H156" s="351">
        <f t="shared" si="45"/>
        <v>-1085.8000000000006</v>
      </c>
      <c r="I156" s="189">
        <f>G156/F156</f>
        <v>0.9171208304709564</v>
      </c>
      <c r="J156" s="351">
        <f t="shared" si="45"/>
        <v>-12339.800000000001</v>
      </c>
      <c r="K156" s="189">
        <f>G156/E156</f>
        <v>0.4933360706220488</v>
      </c>
      <c r="L156" s="351">
        <f t="shared" si="45"/>
        <v>0</v>
      </c>
      <c r="M156" s="351">
        <f t="shared" si="45"/>
        <v>0</v>
      </c>
      <c r="N156" s="351">
        <f t="shared" si="45"/>
        <v>0</v>
      </c>
      <c r="O156" s="351">
        <f t="shared" si="45"/>
        <v>22090.14</v>
      </c>
      <c r="P156" s="351">
        <f t="shared" si="45"/>
        <v>2264.8600000000006</v>
      </c>
      <c r="Q156" s="189">
        <f>E156/O156</f>
        <v>1.1025280962456554</v>
      </c>
      <c r="R156" s="351">
        <f t="shared" si="45"/>
        <v>9274.759999999998</v>
      </c>
      <c r="S156" s="351">
        <f t="shared" si="45"/>
        <v>2740.44</v>
      </c>
      <c r="T156" s="189">
        <f>G156/R156</f>
        <v>1.2954728747698054</v>
      </c>
      <c r="U156" s="351">
        <f t="shared" si="45"/>
        <v>2184</v>
      </c>
      <c r="V156" s="351">
        <f t="shared" si="45"/>
        <v>625.3000000000002</v>
      </c>
      <c r="W156" s="351">
        <f t="shared" si="45"/>
        <v>-1558.6999999999998</v>
      </c>
      <c r="X156" s="189">
        <f>V156/U156</f>
        <v>0.2863095238095239</v>
      </c>
      <c r="Y156" s="189">
        <f t="shared" si="40"/>
        <v>0.19294477852415004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 aca="true" t="shared" si="46" ref="E160:X160">E72</f>
        <v>8170</v>
      </c>
      <c r="F160" s="348">
        <f t="shared" si="46"/>
        <v>3968.65</v>
      </c>
      <c r="G160" s="348">
        <f t="shared" si="46"/>
        <v>2974.9</v>
      </c>
      <c r="H160" s="348">
        <f t="shared" si="46"/>
        <v>-993.75</v>
      </c>
      <c r="I160" s="347">
        <f t="shared" si="46"/>
        <v>0.7495999899210058</v>
      </c>
      <c r="J160" s="348">
        <f t="shared" si="46"/>
        <v>-5195.1</v>
      </c>
      <c r="K160" s="347">
        <f t="shared" si="46"/>
        <v>0.364124847001224</v>
      </c>
      <c r="L160" s="348">
        <f t="shared" si="46"/>
        <v>0</v>
      </c>
      <c r="M160" s="348">
        <f t="shared" si="46"/>
        <v>0</v>
      </c>
      <c r="N160" s="348">
        <f t="shared" si="46"/>
        <v>0</v>
      </c>
      <c r="O160" s="348">
        <f t="shared" si="46"/>
        <v>8086.92</v>
      </c>
      <c r="P160" s="348">
        <f t="shared" si="46"/>
        <v>83.07999999999993</v>
      </c>
      <c r="Q160" s="347">
        <f t="shared" si="46"/>
        <v>1.0102733797292418</v>
      </c>
      <c r="R160" s="348">
        <f t="shared" si="46"/>
        <v>4834.79</v>
      </c>
      <c r="S160" s="348">
        <f t="shared" si="46"/>
        <v>-1859.8899999999999</v>
      </c>
      <c r="T160" s="347">
        <f t="shared" si="46"/>
        <v>0.6153111096862532</v>
      </c>
      <c r="U160" s="348">
        <f t="shared" si="46"/>
        <v>680</v>
      </c>
      <c r="V160" s="348">
        <f t="shared" si="46"/>
        <v>174.45000000000027</v>
      </c>
      <c r="W160" s="348">
        <f t="shared" si="46"/>
        <v>-505.5499999999997</v>
      </c>
      <c r="X160" s="347">
        <f t="shared" si="46"/>
        <v>0.2565441176470592</v>
      </c>
      <c r="Y160" s="189">
        <f t="shared" si="40"/>
        <v>-0.39496227004298856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 aca="true" t="shared" si="47" ref="E161:X161">E76</f>
        <v>174.4</v>
      </c>
      <c r="F161" s="348">
        <f t="shared" si="47"/>
        <v>20</v>
      </c>
      <c r="G161" s="348">
        <f t="shared" si="47"/>
        <v>0</v>
      </c>
      <c r="H161" s="348">
        <f t="shared" si="47"/>
        <v>-20</v>
      </c>
      <c r="I161" s="347">
        <f t="shared" si="47"/>
        <v>0</v>
      </c>
      <c r="J161" s="348">
        <f t="shared" si="47"/>
        <v>-174.4</v>
      </c>
      <c r="K161" s="347">
        <f t="shared" si="47"/>
        <v>0</v>
      </c>
      <c r="L161" s="348">
        <f t="shared" si="47"/>
        <v>0</v>
      </c>
      <c r="M161" s="348">
        <f t="shared" si="47"/>
        <v>0</v>
      </c>
      <c r="N161" s="348">
        <f t="shared" si="47"/>
        <v>0</v>
      </c>
      <c r="O161" s="348">
        <f t="shared" si="47"/>
        <v>142.18</v>
      </c>
      <c r="P161" s="348">
        <f t="shared" si="47"/>
        <v>32.22</v>
      </c>
      <c r="Q161" s="347">
        <f t="shared" si="47"/>
        <v>1.2266141510761006</v>
      </c>
      <c r="R161" s="348">
        <f t="shared" si="47"/>
        <v>54.64</v>
      </c>
      <c r="S161" s="348">
        <f t="shared" si="47"/>
        <v>-54.64</v>
      </c>
      <c r="T161" s="347">
        <f t="shared" si="47"/>
        <v>0</v>
      </c>
      <c r="U161" s="348">
        <f t="shared" si="47"/>
        <v>0</v>
      </c>
      <c r="V161" s="348">
        <f t="shared" si="47"/>
        <v>0</v>
      </c>
      <c r="W161" s="348">
        <f t="shared" si="47"/>
        <v>0</v>
      </c>
      <c r="X161" s="347" t="e">
        <f t="shared" si="47"/>
        <v>#DIV/0!</v>
      </c>
      <c r="Y161" s="189">
        <f t="shared" si="40"/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 aca="true" t="shared" si="48" ref="E162:W162">SUM(E160:E161)</f>
        <v>8344.4</v>
      </c>
      <c r="F162" s="351">
        <f t="shared" si="48"/>
        <v>3988.65</v>
      </c>
      <c r="G162" s="351">
        <f t="shared" si="48"/>
        <v>2974.9</v>
      </c>
      <c r="H162" s="351">
        <f t="shared" si="48"/>
        <v>-1013.75</v>
      </c>
      <c r="I162" s="189">
        <f>G162/F162</f>
        <v>0.7458413247590037</v>
      </c>
      <c r="J162" s="351">
        <f t="shared" si="48"/>
        <v>-5369.5</v>
      </c>
      <c r="K162" s="189">
        <f>G162/E162</f>
        <v>0.35651454867935384</v>
      </c>
      <c r="L162" s="351">
        <f t="shared" si="48"/>
        <v>0</v>
      </c>
      <c r="M162" s="351">
        <f t="shared" si="48"/>
        <v>0</v>
      </c>
      <c r="N162" s="351">
        <f t="shared" si="48"/>
        <v>0</v>
      </c>
      <c r="O162" s="351">
        <f t="shared" si="48"/>
        <v>8229.1</v>
      </c>
      <c r="P162" s="351">
        <f t="shared" si="48"/>
        <v>115.29999999999993</v>
      </c>
      <c r="Q162" s="189">
        <f>E162/O162</f>
        <v>1.0140112527493892</v>
      </c>
      <c r="R162" s="351">
        <f t="shared" si="48"/>
        <v>4889.43</v>
      </c>
      <c r="S162" s="351">
        <f t="shared" si="48"/>
        <v>-1914.53</v>
      </c>
      <c r="T162" s="189">
        <f>G162/R162</f>
        <v>0.6084349300429702</v>
      </c>
      <c r="U162" s="351">
        <f t="shared" si="48"/>
        <v>680</v>
      </c>
      <c r="V162" s="351">
        <f t="shared" si="48"/>
        <v>174.45000000000027</v>
      </c>
      <c r="W162" s="351">
        <f t="shared" si="48"/>
        <v>-505.5499999999997</v>
      </c>
      <c r="X162" s="189">
        <f>V162/U162</f>
        <v>0.2565441176470592</v>
      </c>
      <c r="Y162" s="189">
        <f t="shared" si="40"/>
        <v>-0.40557632270641897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.31496062992125984" right="0" top="0" bottom="0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0"/>
  <sheetViews>
    <sheetView zoomScale="69" zoomScaleNormal="69" zoomScalePageLayoutView="0" workbookViewId="0" topLeftCell="B1">
      <pane xSplit="3" ySplit="8" topLeftCell="E77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89" sqref="B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4.50390625" style="4" hidden="1" customWidth="1"/>
    <col min="24" max="24" width="12.75390625" style="4" hidden="1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239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234</v>
      </c>
      <c r="V3" s="502" t="s">
        <v>235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231</v>
      </c>
      <c r="G4" s="487" t="s">
        <v>31</v>
      </c>
      <c r="H4" s="475" t="s">
        <v>232</v>
      </c>
      <c r="I4" s="489" t="s">
        <v>233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240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236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637167.95</v>
      </c>
      <c r="G8" s="103">
        <f>G9+G15+G18+G19+G23+G17</f>
        <v>649307.7</v>
      </c>
      <c r="H8" s="103">
        <f>G8-F8</f>
        <v>12139.75</v>
      </c>
      <c r="I8" s="210">
        <f aca="true" t="shared" si="0" ref="I8:I15">G8/F8</f>
        <v>1.0190526689234762</v>
      </c>
      <c r="J8" s="104">
        <f aca="true" t="shared" si="1" ref="J8:J52">G8-E8</f>
        <v>-953943.2</v>
      </c>
      <c r="K8" s="156">
        <f aca="true" t="shared" si="2" ref="K8:K14">G8/E8</f>
        <v>0.4049944397349161</v>
      </c>
      <c r="L8" s="104"/>
      <c r="M8" s="104"/>
      <c r="N8" s="104"/>
      <c r="O8" s="104">
        <v>1329586.12</v>
      </c>
      <c r="P8" s="104">
        <f aca="true" t="shared" si="3" ref="P8:P51">E8-O8</f>
        <v>273664.7799999998</v>
      </c>
      <c r="Q8" s="156">
        <f aca="true" t="shared" si="4" ref="Q8:Q51">E8/O8</f>
        <v>1.2058270433809881</v>
      </c>
      <c r="R8" s="103">
        <v>505095.97</v>
      </c>
      <c r="S8" s="103">
        <f aca="true" t="shared" si="5" ref="S8:S79">G8-R8</f>
        <v>144211.72999999998</v>
      </c>
      <c r="T8" s="143">
        <f aca="true" t="shared" si="6" ref="T8:T41">G8/R8</f>
        <v>1.2855135233013242</v>
      </c>
      <c r="U8" s="103">
        <f>U9+U15+U18+U19+U23+U17</f>
        <v>162344.60999999993</v>
      </c>
      <c r="V8" s="103">
        <f>V9+V15+V18+V19+V23+V17</f>
        <v>150605.31999999995</v>
      </c>
      <c r="W8" s="103">
        <f>V8-U8</f>
        <v>-11739.289999999979</v>
      </c>
      <c r="X8" s="143">
        <f aca="true" t="shared" si="7" ref="X8:X15">V8/U8</f>
        <v>0.9276890683343292</v>
      </c>
      <c r="Y8" s="199">
        <f aca="true" t="shared" si="8" ref="Y8:Y22">T8-Q8</f>
        <v>0.07968647992033606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342289.04+20517.1+14456.11</f>
        <v>377262.24999999994</v>
      </c>
      <c r="G9" s="106">
        <v>380816.85</v>
      </c>
      <c r="H9" s="102">
        <f>G9-F9</f>
        <v>3554.600000000035</v>
      </c>
      <c r="I9" s="208">
        <f t="shared" si="0"/>
        <v>1.0094220929870403</v>
      </c>
      <c r="J9" s="108">
        <f t="shared" si="1"/>
        <v>-595903.25</v>
      </c>
      <c r="K9" s="148">
        <f t="shared" si="2"/>
        <v>0.3898935324459894</v>
      </c>
      <c r="L9" s="108"/>
      <c r="M9" s="108"/>
      <c r="N9" s="108"/>
      <c r="O9" s="108">
        <v>775821.8</v>
      </c>
      <c r="P9" s="108">
        <f t="shared" si="3"/>
        <v>200898.29999999993</v>
      </c>
      <c r="Q9" s="148">
        <f t="shared" si="4"/>
        <v>1.2589490266965944</v>
      </c>
      <c r="R9" s="115">
        <v>281631.58</v>
      </c>
      <c r="S9" s="109">
        <f t="shared" si="5"/>
        <v>99185.26999999996</v>
      </c>
      <c r="T9" s="144">
        <f t="shared" si="6"/>
        <v>1.352180923744418</v>
      </c>
      <c r="U9" s="107">
        <f>F9-квітень!F9</f>
        <v>106611.10999999993</v>
      </c>
      <c r="V9" s="110">
        <f>G9-квітень!G9</f>
        <v>82462.77999999997</v>
      </c>
      <c r="W9" s="111">
        <f>V9-U9</f>
        <v>-24148.329999999958</v>
      </c>
      <c r="X9" s="148">
        <f t="shared" si="7"/>
        <v>0.773491430677347</v>
      </c>
      <c r="Y9" s="200">
        <f t="shared" si="8"/>
        <v>0.09323189704782364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315213.7+20517.1+10056.11</f>
        <v>345786.91</v>
      </c>
      <c r="G10" s="94">
        <v>346610.71</v>
      </c>
      <c r="H10" s="71">
        <f aca="true" t="shared" si="9" ref="H10:H47">G10-F10</f>
        <v>823.8000000000466</v>
      </c>
      <c r="I10" s="209">
        <f t="shared" si="0"/>
        <v>1.002382392092286</v>
      </c>
      <c r="J10" s="72">
        <f t="shared" si="1"/>
        <v>-555709.3899999999</v>
      </c>
      <c r="K10" s="75">
        <f t="shared" si="2"/>
        <v>0.3841327595384388</v>
      </c>
      <c r="L10" s="72"/>
      <c r="M10" s="72"/>
      <c r="N10" s="72"/>
      <c r="O10" s="72">
        <v>709899.75</v>
      </c>
      <c r="P10" s="72">
        <f t="shared" si="3"/>
        <v>192420.34999999998</v>
      </c>
      <c r="Q10" s="75">
        <f t="shared" si="4"/>
        <v>1.2710528493635898</v>
      </c>
      <c r="R10" s="74">
        <v>257579.18</v>
      </c>
      <c r="S10" s="74">
        <f t="shared" si="5"/>
        <v>89031.53000000003</v>
      </c>
      <c r="T10" s="145">
        <f t="shared" si="6"/>
        <v>1.3456472297178679</v>
      </c>
      <c r="U10" s="73">
        <f>F10-квітень!F10</f>
        <v>96673.20999999996</v>
      </c>
      <c r="V10" s="98">
        <f>G10-квітень!G10</f>
        <v>74009.76000000001</v>
      </c>
      <c r="W10" s="74">
        <f aca="true" t="shared" si="10" ref="W10:W52">V10-U10</f>
        <v>-22663.449999999953</v>
      </c>
      <c r="X10" s="75">
        <f t="shared" si="7"/>
        <v>0.7655663859718741</v>
      </c>
      <c r="Y10" s="198">
        <f t="shared" si="8"/>
        <v>0.07459438035427812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f>18441.3+2600</f>
        <v>21041.3</v>
      </c>
      <c r="G11" s="94">
        <v>21139.59</v>
      </c>
      <c r="H11" s="71">
        <f t="shared" si="9"/>
        <v>98.29000000000087</v>
      </c>
      <c r="I11" s="209">
        <f t="shared" si="0"/>
        <v>1.0046712893214773</v>
      </c>
      <c r="J11" s="72">
        <f t="shared" si="1"/>
        <v>-28760.41</v>
      </c>
      <c r="K11" s="75">
        <f t="shared" si="2"/>
        <v>0.42363907815631263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15819.9</v>
      </c>
      <c r="S11" s="74">
        <f t="shared" si="5"/>
        <v>5319.6900000000005</v>
      </c>
      <c r="T11" s="145">
        <f t="shared" si="6"/>
        <v>1.3362657159653348</v>
      </c>
      <c r="U11" s="73">
        <f>F11-квітень!F11</f>
        <v>6506.5999999999985</v>
      </c>
      <c r="V11" s="98">
        <f>G11-квітень!G11</f>
        <v>4660.450000000001</v>
      </c>
      <c r="W11" s="74">
        <f t="shared" si="10"/>
        <v>-1846.1499999999978</v>
      </c>
      <c r="X11" s="75">
        <f t="shared" si="7"/>
        <v>0.7162650232072053</v>
      </c>
      <c r="Y11" s="198">
        <f t="shared" si="8"/>
        <v>0.1626012414718394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f>4096.41+1800</f>
        <v>5896.41</v>
      </c>
      <c r="G12" s="94">
        <v>7275.55</v>
      </c>
      <c r="H12" s="71">
        <f t="shared" si="9"/>
        <v>1379.1400000000003</v>
      </c>
      <c r="I12" s="209">
        <f t="shared" si="0"/>
        <v>1.233894861449594</v>
      </c>
      <c r="J12" s="72">
        <f t="shared" si="1"/>
        <v>-4724.45</v>
      </c>
      <c r="K12" s="75">
        <f t="shared" si="2"/>
        <v>0.6062958333333334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3742.26</v>
      </c>
      <c r="S12" s="74">
        <f t="shared" si="5"/>
        <v>3533.29</v>
      </c>
      <c r="T12" s="145">
        <f t="shared" si="6"/>
        <v>1.9441594116923997</v>
      </c>
      <c r="U12" s="73">
        <f>F12-квітень!F12</f>
        <v>2752</v>
      </c>
      <c r="V12" s="98">
        <f>G12-квітень!G12</f>
        <v>3286.02</v>
      </c>
      <c r="W12" s="74">
        <f t="shared" si="10"/>
        <v>534.02</v>
      </c>
      <c r="X12" s="75">
        <f t="shared" si="7"/>
        <v>1.194047965116279</v>
      </c>
      <c r="Y12" s="198">
        <f t="shared" si="8"/>
        <v>0.9435048168115818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5483.4</v>
      </c>
      <c r="H13" s="71">
        <f t="shared" si="9"/>
        <v>1223.3999999999996</v>
      </c>
      <c r="I13" s="209">
        <f t="shared" si="0"/>
        <v>1.2871830985915491</v>
      </c>
      <c r="J13" s="72">
        <f t="shared" si="1"/>
        <v>-6516.6</v>
      </c>
      <c r="K13" s="75">
        <f t="shared" si="2"/>
        <v>0.45694999999999997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3882.59</v>
      </c>
      <c r="S13" s="74">
        <f t="shared" si="5"/>
        <v>1600.8099999999995</v>
      </c>
      <c r="T13" s="145">
        <f t="shared" si="6"/>
        <v>1.4123046729116386</v>
      </c>
      <c r="U13" s="73">
        <f>F13-квітень!F13</f>
        <v>646.3000000000002</v>
      </c>
      <c r="V13" s="98">
        <f>G13-квітень!G13</f>
        <v>506.5599999999995</v>
      </c>
      <c r="W13" s="74">
        <f t="shared" si="10"/>
        <v>-139.7400000000007</v>
      </c>
      <c r="X13" s="75">
        <f t="shared" si="7"/>
        <v>0.7837846201454423</v>
      </c>
      <c r="Y13" s="198">
        <f t="shared" si="8"/>
        <v>0.21670567283093556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 t="shared" si="9"/>
        <v>29.99000000000001</v>
      </c>
      <c r="I14" s="209">
        <f t="shared" si="0"/>
        <v>1.1080214674206679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607.65</v>
      </c>
      <c r="S14" s="74">
        <f t="shared" si="5"/>
        <v>-300.03</v>
      </c>
      <c r="T14" s="145">
        <f t="shared" si="6"/>
        <v>0.5062453715132066</v>
      </c>
      <c r="U14" s="73">
        <f>F14-квітень!F14</f>
        <v>33</v>
      </c>
      <c r="V14" s="98">
        <f>G14-квітень!G14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 t="shared" si="9"/>
        <v>676.72</v>
      </c>
      <c r="I15" s="208">
        <f t="shared" si="0"/>
        <v>2.854027397260274</v>
      </c>
      <c r="J15" s="108">
        <f t="shared" si="1"/>
        <v>141.72000000000003</v>
      </c>
      <c r="K15" s="108">
        <f aca="true" t="shared" si="11" ref="K15:K23">G15/E15*100</f>
        <v>115.74666666666667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44.56</v>
      </c>
      <c r="S15" s="111">
        <f t="shared" si="5"/>
        <v>997.1600000000001</v>
      </c>
      <c r="T15" s="146">
        <f t="shared" si="6"/>
        <v>23.377917414721722</v>
      </c>
      <c r="U15" s="107">
        <f>F15-квітень!F15</f>
        <v>300</v>
      </c>
      <c r="V15" s="110">
        <f>G15-квітень!G15</f>
        <v>704.04</v>
      </c>
      <c r="W15" s="111">
        <f t="shared" si="10"/>
        <v>404.03999999999996</v>
      </c>
      <c r="X15" s="148">
        <f t="shared" si="7"/>
        <v>2.3468</v>
      </c>
      <c r="Y15" s="197">
        <f t="shared" si="8"/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F16-квітень!F16</f>
        <v>0</v>
      </c>
      <c r="V16" s="110">
        <f>G16-квітень!G16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F17-квітень!F17</f>
        <v>0</v>
      </c>
      <c r="V17" s="110">
        <f>G17-квітень!G17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F18-квітень!F18</f>
        <v>20.5</v>
      </c>
      <c r="V18" s="110">
        <f>G18-квітень!G18</f>
        <v>0</v>
      </c>
      <c r="W18" s="111">
        <f t="shared" si="10"/>
        <v>-20.5</v>
      </c>
      <c r="X18" s="148">
        <f aca="true" t="shared" si="13" ref="X18:X35">V18/U18</f>
        <v>0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48435.71</v>
      </c>
      <c r="H19" s="102">
        <f t="shared" si="9"/>
        <v>-7827.290000000001</v>
      </c>
      <c r="I19" s="208">
        <f t="shared" si="12"/>
        <v>0.8608803298793167</v>
      </c>
      <c r="J19" s="108">
        <f t="shared" si="1"/>
        <v>-103292.29000000001</v>
      </c>
      <c r="K19" s="108">
        <f t="shared" si="11"/>
        <v>31.922723557945798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44995.09</v>
      </c>
      <c r="S19" s="111">
        <f t="shared" si="5"/>
        <v>3440.6200000000026</v>
      </c>
      <c r="T19" s="146">
        <f t="shared" si="6"/>
        <v>1.076466565574155</v>
      </c>
      <c r="U19" s="107">
        <f>F19-квітень!F19</f>
        <v>11273</v>
      </c>
      <c r="V19" s="110">
        <f>G19-квітень!G19</f>
        <v>11360.489999999998</v>
      </c>
      <c r="W19" s="111">
        <f t="shared" si="10"/>
        <v>87.48999999999796</v>
      </c>
      <c r="X19" s="148">
        <f t="shared" si="13"/>
        <v>1.00776102191076</v>
      </c>
      <c r="Y19" s="197">
        <f t="shared" si="8"/>
        <v>-0.16771404791263556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21319.11</v>
      </c>
      <c r="H20" s="170">
        <f t="shared" si="9"/>
        <v>-643.8899999999994</v>
      </c>
      <c r="I20" s="211">
        <f t="shared" si="12"/>
        <v>0.9706829668078132</v>
      </c>
      <c r="J20" s="171">
        <f t="shared" si="1"/>
        <v>-45388.89</v>
      </c>
      <c r="K20" s="171">
        <f t="shared" si="11"/>
        <v>31.958850512682137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26128.49</v>
      </c>
      <c r="S20" s="116">
        <f t="shared" si="5"/>
        <v>-4809.380000000001</v>
      </c>
      <c r="T20" s="172">
        <f t="shared" si="6"/>
        <v>0.8159334886937591</v>
      </c>
      <c r="U20" s="136">
        <f>F20-квітень!F20</f>
        <v>4273</v>
      </c>
      <c r="V20" s="124">
        <f>G20-квітень!G20</f>
        <v>4535.34</v>
      </c>
      <c r="W20" s="116">
        <f t="shared" si="10"/>
        <v>262.34000000000015</v>
      </c>
      <c r="X20" s="180">
        <f t="shared" si="13"/>
        <v>1.0613948045869412</v>
      </c>
      <c r="Y20" s="197">
        <f t="shared" si="8"/>
        <v>-0.28238556024637484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5933.39</v>
      </c>
      <c r="H21" s="170">
        <f t="shared" si="9"/>
        <v>-566.6099999999997</v>
      </c>
      <c r="I21" s="211">
        <f t="shared" si="12"/>
        <v>0.9128292307692308</v>
      </c>
      <c r="J21" s="171">
        <f t="shared" si="1"/>
        <v>-9762.61</v>
      </c>
      <c r="K21" s="171">
        <f t="shared" si="11"/>
        <v>37.801924057084605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4093.69</v>
      </c>
      <c r="S21" s="116">
        <f t="shared" si="5"/>
        <v>1839.7000000000003</v>
      </c>
      <c r="T21" s="172">
        <f t="shared" si="6"/>
        <v>1.449398953022823</v>
      </c>
      <c r="U21" s="136">
        <f>F21-квітень!F21</f>
        <v>1300</v>
      </c>
      <c r="V21" s="124">
        <f>G21-квітень!G21</f>
        <v>1265.5</v>
      </c>
      <c r="W21" s="116">
        <f t="shared" si="10"/>
        <v>-34.5</v>
      </c>
      <c r="X21" s="180">
        <f t="shared" si="13"/>
        <v>0.9734615384615385</v>
      </c>
      <c r="Y21" s="197">
        <f t="shared" si="8"/>
        <v>0.19659638994968942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21183.21</v>
      </c>
      <c r="H22" s="170">
        <f t="shared" si="9"/>
        <v>-6616.790000000001</v>
      </c>
      <c r="I22" s="211">
        <f t="shared" si="12"/>
        <v>0.7619859712230216</v>
      </c>
      <c r="J22" s="171">
        <f t="shared" si="1"/>
        <v>-48140.79</v>
      </c>
      <c r="K22" s="171">
        <f t="shared" si="11"/>
        <v>30.556820148866194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14772.92</v>
      </c>
      <c r="S22" s="116">
        <f t="shared" si="5"/>
        <v>6410.289999999999</v>
      </c>
      <c r="T22" s="172">
        <f t="shared" si="6"/>
        <v>1.4339216620681625</v>
      </c>
      <c r="U22" s="136">
        <f>F22-квітень!F22</f>
        <v>5700</v>
      </c>
      <c r="V22" s="124">
        <f>G22-квітень!G22</f>
        <v>5559.66</v>
      </c>
      <c r="W22" s="116">
        <f t="shared" si="10"/>
        <v>-140.34000000000015</v>
      </c>
      <c r="X22" s="180">
        <f t="shared" si="13"/>
        <v>0.975378947368421</v>
      </c>
      <c r="Y22" s="197">
        <f t="shared" si="8"/>
        <v>0.0099917354254897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</f>
        <v>203137.2</v>
      </c>
      <c r="G23" s="158">
        <v>218819.18</v>
      </c>
      <c r="H23" s="102">
        <f t="shared" si="9"/>
        <v>15681.979999999981</v>
      </c>
      <c r="I23" s="208">
        <f t="shared" si="12"/>
        <v>1.0771989571580192</v>
      </c>
      <c r="J23" s="108">
        <f t="shared" si="1"/>
        <v>-254848.01999999996</v>
      </c>
      <c r="K23" s="108">
        <f t="shared" si="11"/>
        <v>46.19681920132954</v>
      </c>
      <c r="L23" s="108"/>
      <c r="M23" s="108"/>
      <c r="N23" s="108"/>
      <c r="O23" s="108">
        <v>430705.5</v>
      </c>
      <c r="P23" s="108">
        <f t="shared" si="3"/>
        <v>42961.69999999995</v>
      </c>
      <c r="Q23" s="148">
        <f t="shared" si="4"/>
        <v>1.099747275110255</v>
      </c>
      <c r="R23" s="108">
        <v>178305.79</v>
      </c>
      <c r="S23" s="111">
        <f t="shared" si="5"/>
        <v>40513.389999999985</v>
      </c>
      <c r="T23" s="147">
        <f t="shared" si="6"/>
        <v>1.2272129805767944</v>
      </c>
      <c r="U23" s="107">
        <f>F23-квітень!F23</f>
        <v>44140</v>
      </c>
      <c r="V23" s="110">
        <f>G23-квітень!G23</f>
        <v>56078.00999999998</v>
      </c>
      <c r="W23" s="111">
        <f t="shared" si="10"/>
        <v>11938.00999999998</v>
      </c>
      <c r="X23" s="148">
        <f t="shared" si="13"/>
        <v>1.2704578613502489</v>
      </c>
      <c r="Y23" s="197">
        <f>T23-Q23</f>
        <v>0.12746570546653935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99179.31</v>
      </c>
      <c r="H24" s="102">
        <f t="shared" si="9"/>
        <v>13476.299999999988</v>
      </c>
      <c r="I24" s="208">
        <f t="shared" si="12"/>
        <v>1.1572441854725988</v>
      </c>
      <c r="J24" s="108">
        <f t="shared" si="1"/>
        <v>-117662.69</v>
      </c>
      <c r="K24" s="148">
        <f aca="true" t="shared" si="14" ref="K24:K41">G24/E24</f>
        <v>0.4573805351361821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81732.13</v>
      </c>
      <c r="S24" s="111">
        <f t="shared" si="5"/>
        <v>17447.179999999993</v>
      </c>
      <c r="T24" s="147">
        <f t="shared" si="6"/>
        <v>1.2134678247098172</v>
      </c>
      <c r="U24" s="107">
        <f>F24-квітень!F24</f>
        <v>15913</v>
      </c>
      <c r="V24" s="110">
        <f>G24-квітень!G24</f>
        <v>27819.449999999997</v>
      </c>
      <c r="W24" s="111">
        <f t="shared" si="10"/>
        <v>11906.449999999997</v>
      </c>
      <c r="X24" s="148">
        <f t="shared" si="13"/>
        <v>1.748221579840382</v>
      </c>
      <c r="Y24" s="197">
        <f aca="true" t="shared" si="15" ref="Y24:Y100">T24-Q24</f>
        <v>0.16708977987743845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13383.63</v>
      </c>
      <c r="H25" s="170">
        <f t="shared" si="9"/>
        <v>1520.1299999999992</v>
      </c>
      <c r="I25" s="211">
        <f t="shared" si="12"/>
        <v>1.128135036034897</v>
      </c>
      <c r="J25" s="171">
        <f t="shared" si="1"/>
        <v>-15400.37</v>
      </c>
      <c r="K25" s="180">
        <f t="shared" si="14"/>
        <v>0.4649676903835464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10136.04</v>
      </c>
      <c r="S25" s="116">
        <f t="shared" si="5"/>
        <v>3247.5899999999983</v>
      </c>
      <c r="T25" s="152">
        <f t="shared" si="6"/>
        <v>1.3204002746634778</v>
      </c>
      <c r="U25" s="136">
        <f>F25-квітень!F25</f>
        <v>627</v>
      </c>
      <c r="V25" s="124">
        <f>G25-квітень!G25</f>
        <v>816.5199999999986</v>
      </c>
      <c r="W25" s="116">
        <f t="shared" si="10"/>
        <v>189.51999999999862</v>
      </c>
      <c r="X25" s="180">
        <f t="shared" si="13"/>
        <v>1.3022647527910665</v>
      </c>
      <c r="Y25" s="197">
        <f t="shared" si="15"/>
        <v>0.18780332870893912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859.73</v>
      </c>
      <c r="H26" s="158">
        <f t="shared" si="9"/>
        <v>567.12</v>
      </c>
      <c r="I26" s="212">
        <f t="shared" si="12"/>
        <v>2.9381429206110523</v>
      </c>
      <c r="J26" s="176">
        <f t="shared" si="1"/>
        <v>-662.27</v>
      </c>
      <c r="K26" s="191">
        <f t="shared" si="14"/>
        <v>0.564868593955322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197.27</v>
      </c>
      <c r="S26" s="201">
        <f t="shared" si="5"/>
        <v>662.46</v>
      </c>
      <c r="T26" s="162">
        <f t="shared" si="6"/>
        <v>4.358138591777767</v>
      </c>
      <c r="U26" s="167">
        <f>F26-квітень!F26</f>
        <v>12</v>
      </c>
      <c r="V26" s="167">
        <f>G26-квітень!G26</f>
        <v>161.44000000000005</v>
      </c>
      <c r="W26" s="176">
        <f t="shared" si="10"/>
        <v>149.44000000000005</v>
      </c>
      <c r="X26" s="191">
        <f t="shared" si="13"/>
        <v>13.453333333333338</v>
      </c>
      <c r="Y26" s="197">
        <f t="shared" si="15"/>
        <v>3.352117003955784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12523.900000000001</v>
      </c>
      <c r="H27" s="158">
        <f t="shared" si="9"/>
        <v>953.010000000002</v>
      </c>
      <c r="I27" s="212">
        <f t="shared" si="12"/>
        <v>1.0823627223143597</v>
      </c>
      <c r="J27" s="176">
        <f t="shared" si="1"/>
        <v>-14738.099999999999</v>
      </c>
      <c r="K27" s="191">
        <f t="shared" si="14"/>
        <v>0.45939036020834867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9938.769999999999</v>
      </c>
      <c r="S27" s="201">
        <f t="shared" si="5"/>
        <v>2585.130000000003</v>
      </c>
      <c r="T27" s="162">
        <f t="shared" si="6"/>
        <v>1.2601056267526065</v>
      </c>
      <c r="U27" s="167">
        <f>F27-квітень!F27</f>
        <v>615</v>
      </c>
      <c r="V27" s="167">
        <f>G27-квітень!G27</f>
        <v>655.0800000000017</v>
      </c>
      <c r="W27" s="176">
        <f t="shared" si="10"/>
        <v>40.080000000001746</v>
      </c>
      <c r="X27" s="191">
        <f t="shared" si="13"/>
        <v>1.06517073170732</v>
      </c>
      <c r="Y27" s="197">
        <f t="shared" si="15"/>
        <v>0.11949725766107666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170.7</v>
      </c>
      <c r="H28" s="218">
        <f t="shared" si="9"/>
        <v>32.89999999999998</v>
      </c>
      <c r="I28" s="220">
        <f t="shared" si="12"/>
        <v>1.238751814223512</v>
      </c>
      <c r="J28" s="221">
        <f t="shared" si="1"/>
        <v>-145.3</v>
      </c>
      <c r="K28" s="222">
        <f t="shared" si="14"/>
        <v>0.5401898734177215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164.34</v>
      </c>
      <c r="S28" s="221">
        <f t="shared" si="5"/>
        <v>6.359999999999985</v>
      </c>
      <c r="T28" s="222">
        <f t="shared" si="6"/>
        <v>1.0387002555677254</v>
      </c>
      <c r="U28" s="206">
        <f>F28-квітень!F28</f>
        <v>5</v>
      </c>
      <c r="V28" s="206">
        <f>G28-квітень!G28</f>
        <v>2.8100000000000023</v>
      </c>
      <c r="W28" s="221">
        <f t="shared" si="10"/>
        <v>-2.1899999999999977</v>
      </c>
      <c r="X28" s="222">
        <f t="shared" si="13"/>
        <v>0.5620000000000005</v>
      </c>
      <c r="Y28" s="465">
        <f t="shared" si="15"/>
        <v>-0.10660074838283817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689.03</v>
      </c>
      <c r="H29" s="218">
        <f t="shared" si="9"/>
        <v>534.22</v>
      </c>
      <c r="I29" s="220">
        <f t="shared" si="12"/>
        <v>4.450810671145274</v>
      </c>
      <c r="J29" s="221">
        <f t="shared" si="1"/>
        <v>-516.97</v>
      </c>
      <c r="K29" s="222">
        <f t="shared" si="14"/>
        <v>0.571334991708126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32.93</v>
      </c>
      <c r="S29" s="221">
        <f t="shared" si="5"/>
        <v>656.1</v>
      </c>
      <c r="T29" s="222">
        <f t="shared" si="6"/>
        <v>20.924081384755542</v>
      </c>
      <c r="U29" s="206">
        <f>F29-квітень!F29</f>
        <v>7</v>
      </c>
      <c r="V29" s="206">
        <f>G29-квітень!G29</f>
        <v>158.63</v>
      </c>
      <c r="W29" s="221">
        <f t="shared" si="10"/>
        <v>151.63</v>
      </c>
      <c r="X29" s="222">
        <f t="shared" si="13"/>
        <v>22.66142857142857</v>
      </c>
      <c r="Y29" s="465">
        <f t="shared" si="15"/>
        <v>19.949126252093738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978.54</v>
      </c>
      <c r="H30" s="218">
        <f t="shared" si="9"/>
        <v>633.45</v>
      </c>
      <c r="I30" s="220">
        <f t="shared" si="12"/>
        <v>2.8356081022342</v>
      </c>
      <c r="J30" s="221">
        <f t="shared" si="1"/>
        <v>-1376.46</v>
      </c>
      <c r="K30" s="222">
        <f t="shared" si="14"/>
        <v>0.41551592356687894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90.38</v>
      </c>
      <c r="S30" s="221">
        <f t="shared" si="5"/>
        <v>888.16</v>
      </c>
      <c r="T30" s="222">
        <f t="shared" si="6"/>
        <v>10.826952865678248</v>
      </c>
      <c r="U30" s="206">
        <f>F30-квітень!F30</f>
        <v>15</v>
      </c>
      <c r="V30" s="206">
        <f>G30-квітень!G30</f>
        <v>375.81999999999994</v>
      </c>
      <c r="W30" s="221">
        <f t="shared" si="10"/>
        <v>360.81999999999994</v>
      </c>
      <c r="X30" s="222">
        <f t="shared" si="13"/>
        <v>25.054666666666662</v>
      </c>
      <c r="Y30" s="465">
        <f t="shared" si="15"/>
        <v>9.766261502093066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11545.36</v>
      </c>
      <c r="H31" s="218">
        <f t="shared" si="9"/>
        <v>319.5600000000013</v>
      </c>
      <c r="I31" s="220">
        <f t="shared" si="12"/>
        <v>1.0284665680842346</v>
      </c>
      <c r="J31" s="221">
        <f t="shared" si="1"/>
        <v>-13361.64</v>
      </c>
      <c r="K31" s="222">
        <f t="shared" si="14"/>
        <v>0.4635387642028346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9848.39</v>
      </c>
      <c r="S31" s="221">
        <f t="shared" si="5"/>
        <v>1696.9700000000012</v>
      </c>
      <c r="T31" s="222">
        <f t="shared" si="6"/>
        <v>1.1723093825488229</v>
      </c>
      <c r="U31" s="206">
        <f>F31-квітень!F31</f>
        <v>600</v>
      </c>
      <c r="V31" s="206">
        <f>G31-квітень!G31</f>
        <v>279.2600000000002</v>
      </c>
      <c r="W31" s="221"/>
      <c r="X31" s="222">
        <f t="shared" si="13"/>
        <v>0.4654333333333337</v>
      </c>
      <c r="Y31" s="465">
        <f t="shared" si="15"/>
        <v>0.023517097311451796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524.71</v>
      </c>
      <c r="H32" s="170">
        <f t="shared" si="9"/>
        <v>350.68000000000006</v>
      </c>
      <c r="I32" s="211">
        <f t="shared" si="12"/>
        <v>3.015054875596162</v>
      </c>
      <c r="J32" s="171">
        <f t="shared" si="1"/>
        <v>242.71000000000004</v>
      </c>
      <c r="K32" s="180">
        <f t="shared" si="14"/>
        <v>1.8606737588652484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-45.48</v>
      </c>
      <c r="S32" s="121">
        <f t="shared" si="5"/>
        <v>570.19</v>
      </c>
      <c r="T32" s="150">
        <f t="shared" si="6"/>
        <v>-11.537159190853124</v>
      </c>
      <c r="U32" s="136">
        <f>F32-квітень!F32</f>
        <v>2</v>
      </c>
      <c r="V32" s="124">
        <f>G32-квітень!G32</f>
        <v>63.48000000000002</v>
      </c>
      <c r="W32" s="116">
        <f t="shared" si="10"/>
        <v>61.48000000000002</v>
      </c>
      <c r="X32" s="180">
        <f t="shared" si="13"/>
        <v>31.74000000000001</v>
      </c>
      <c r="Y32" s="198">
        <f t="shared" si="15"/>
        <v>-11.974192324783633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 t="shared" si="9"/>
        <v>150.72</v>
      </c>
      <c r="I33" s="209">
        <f t="shared" si="12"/>
        <v>6.411849192100538</v>
      </c>
      <c r="J33" s="72">
        <f t="shared" si="1"/>
        <v>78.57</v>
      </c>
      <c r="K33" s="75">
        <f t="shared" si="14"/>
        <v>1.7856999999999998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-193.4</v>
      </c>
      <c r="S33" s="72">
        <f t="shared" si="5"/>
        <v>371.97</v>
      </c>
      <c r="T33" s="75">
        <f t="shared" si="6"/>
        <v>-0.9233195449844881</v>
      </c>
      <c r="U33" s="73">
        <f>F33-квітень!F33</f>
        <v>0</v>
      </c>
      <c r="V33" s="98">
        <f>G33-квітень!G33</f>
        <v>57.22999999999999</v>
      </c>
      <c r="W33" s="74">
        <f t="shared" si="10"/>
        <v>57.22999999999999</v>
      </c>
      <c r="X33" s="75" t="e">
        <f t="shared" si="13"/>
        <v>#DIV/0!</v>
      </c>
      <c r="Y33" s="465">
        <f t="shared" si="15"/>
        <v>-1.337638404778986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346.14</v>
      </c>
      <c r="H34" s="71">
        <f t="shared" si="9"/>
        <v>199.95999999999998</v>
      </c>
      <c r="I34" s="209">
        <f t="shared" si="12"/>
        <v>2.3679025858530576</v>
      </c>
      <c r="J34" s="72">
        <f t="shared" si="1"/>
        <v>164.14</v>
      </c>
      <c r="K34" s="75">
        <f t="shared" si="14"/>
        <v>1.9018681318681319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198.22</v>
      </c>
      <c r="T34" s="75">
        <f t="shared" si="6"/>
        <v>2.3400486749594376</v>
      </c>
      <c r="U34" s="73">
        <f>F34-квітень!F34</f>
        <v>2</v>
      </c>
      <c r="V34" s="98">
        <f>G34-квітень!G34</f>
        <v>6.25</v>
      </c>
      <c r="W34" s="74"/>
      <c r="X34" s="75">
        <f t="shared" si="13"/>
        <v>3.125</v>
      </c>
      <c r="Y34" s="465">
        <f t="shared" si="15"/>
        <v>1.88945324528451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85270.97</v>
      </c>
      <c r="H35" s="102">
        <f t="shared" si="9"/>
        <v>11605.48999999999</v>
      </c>
      <c r="I35" s="211">
        <f t="shared" si="12"/>
        <v>1.1575431260340663</v>
      </c>
      <c r="J35" s="171">
        <f t="shared" si="1"/>
        <v>-102505.03</v>
      </c>
      <c r="K35" s="180">
        <f t="shared" si="14"/>
        <v>0.4541100566632584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71641.57</v>
      </c>
      <c r="S35" s="122">
        <f t="shared" si="5"/>
        <v>13629.399999999994</v>
      </c>
      <c r="T35" s="149">
        <f t="shared" si="6"/>
        <v>1.1902442953162526</v>
      </c>
      <c r="U35" s="136">
        <f>F35-квітень!F35</f>
        <v>15284.000000000007</v>
      </c>
      <c r="V35" s="124">
        <f>G35-квітень!G35</f>
        <v>26939.450000000004</v>
      </c>
      <c r="W35" s="116">
        <f t="shared" si="10"/>
        <v>11655.449999999997</v>
      </c>
      <c r="X35" s="180">
        <f t="shared" si="13"/>
        <v>1.7625915990578378</v>
      </c>
      <c r="Y35" s="198">
        <f t="shared" si="15"/>
        <v>0.15379051538903332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6" ref="E36:G37">E38+E40</f>
        <v>60690</v>
      </c>
      <c r="F36" s="139">
        <f t="shared" si="16"/>
        <v>24279.230000000003</v>
      </c>
      <c r="G36" s="139">
        <f>G38+G40</f>
        <v>34404.409999999996</v>
      </c>
      <c r="H36" s="158">
        <f t="shared" si="9"/>
        <v>10125.179999999993</v>
      </c>
      <c r="I36" s="212">
        <f t="shared" si="12"/>
        <v>1.4170305236203946</v>
      </c>
      <c r="J36" s="176">
        <f t="shared" si="1"/>
        <v>-26285.590000000004</v>
      </c>
      <c r="K36" s="191">
        <f t="shared" si="14"/>
        <v>0.5668876256384906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24151.24</v>
      </c>
      <c r="S36" s="140">
        <f t="shared" si="5"/>
        <v>10253.169999999995</v>
      </c>
      <c r="T36" s="162">
        <f t="shared" si="6"/>
        <v>1.4245401064293177</v>
      </c>
      <c r="U36" s="167">
        <f>F36-квітень!F36</f>
        <v>4984</v>
      </c>
      <c r="V36" s="167">
        <f>G36-квітень!G36</f>
        <v>16408.499999999996</v>
      </c>
      <c r="W36" s="176">
        <f t="shared" si="10"/>
        <v>11424.499999999996</v>
      </c>
      <c r="X36" s="191">
        <f aca="true" t="shared" si="17" ref="X36:X41">V36/U36*100</f>
        <v>329.22351524879605</v>
      </c>
      <c r="Y36" s="197">
        <f t="shared" si="15"/>
        <v>0.3890279604468454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6"/>
        <v>127086</v>
      </c>
      <c r="F37" s="139">
        <f t="shared" si="16"/>
        <v>49386.25</v>
      </c>
      <c r="G37" s="139">
        <f t="shared" si="16"/>
        <v>50866.56</v>
      </c>
      <c r="H37" s="158">
        <f t="shared" si="9"/>
        <v>1480.3099999999977</v>
      </c>
      <c r="I37" s="212">
        <f t="shared" si="12"/>
        <v>1.0299741324761447</v>
      </c>
      <c r="J37" s="176">
        <f t="shared" si="1"/>
        <v>-76219.44</v>
      </c>
      <c r="K37" s="191">
        <f t="shared" si="14"/>
        <v>0.4002530569850337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47490.229999999996</v>
      </c>
      <c r="S37" s="140">
        <f t="shared" si="5"/>
        <v>3376.3300000000017</v>
      </c>
      <c r="T37" s="162">
        <f t="shared" si="6"/>
        <v>1.071095254750293</v>
      </c>
      <c r="U37" s="167">
        <f>F37-квітень!F37</f>
        <v>10300</v>
      </c>
      <c r="V37" s="167">
        <f>G37-квітень!G37</f>
        <v>10530.949999999997</v>
      </c>
      <c r="W37" s="176">
        <f t="shared" si="10"/>
        <v>230.9499999999971</v>
      </c>
      <c r="X37" s="191">
        <f>V37/U37</f>
        <v>1.0224223300970872</v>
      </c>
      <c r="Y37" s="197">
        <f t="shared" si="15"/>
        <v>0.034191192486115796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33789.03</v>
      </c>
      <c r="H38" s="218">
        <f t="shared" si="9"/>
        <v>10604.629999999997</v>
      </c>
      <c r="I38" s="220">
        <f t="shared" si="12"/>
        <v>1.4574036852366246</v>
      </c>
      <c r="J38" s="221">
        <f t="shared" si="1"/>
        <v>-23500.97</v>
      </c>
      <c r="K38" s="222">
        <f t="shared" si="14"/>
        <v>0.5897893175074184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23545.81</v>
      </c>
      <c r="S38" s="221">
        <f t="shared" si="5"/>
        <v>10243.219999999998</v>
      </c>
      <c r="T38" s="222">
        <f t="shared" si="6"/>
        <v>1.4350336641636026</v>
      </c>
      <c r="U38" s="206">
        <f>F38-квітень!F38</f>
        <v>4700</v>
      </c>
      <c r="V38" s="206">
        <f>G38-квітень!G38</f>
        <v>16136.419999999998</v>
      </c>
      <c r="W38" s="221">
        <f t="shared" si="10"/>
        <v>11436.419999999998</v>
      </c>
      <c r="X38" s="222">
        <f t="shared" si="17"/>
        <v>343.32808510638296</v>
      </c>
      <c r="Y38" s="465">
        <f t="shared" si="15"/>
        <v>0.39804001536505984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42875.4</v>
      </c>
      <c r="H39" s="218">
        <f t="shared" si="9"/>
        <v>1281.9500000000044</v>
      </c>
      <c r="I39" s="220">
        <f t="shared" si="12"/>
        <v>1.0308209585884316</v>
      </c>
      <c r="J39" s="221">
        <f t="shared" si="1"/>
        <v>-63110.6</v>
      </c>
      <c r="K39" s="222">
        <f t="shared" si="14"/>
        <v>0.40453833525182575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39491.46</v>
      </c>
      <c r="S39" s="221">
        <f t="shared" si="5"/>
        <v>3383.9400000000023</v>
      </c>
      <c r="T39" s="222">
        <f t="shared" si="6"/>
        <v>1.0856878930280116</v>
      </c>
      <c r="U39" s="206">
        <f>F39-квітень!F39</f>
        <v>8600</v>
      </c>
      <c r="V39" s="206">
        <f>G39-квітень!G39</f>
        <v>8968.120000000003</v>
      </c>
      <c r="W39" s="221">
        <f t="shared" si="10"/>
        <v>368.1200000000026</v>
      </c>
      <c r="X39" s="222">
        <f t="shared" si="17"/>
        <v>104.2804651162791</v>
      </c>
      <c r="Y39" s="465">
        <f t="shared" si="15"/>
        <v>0.048605844598688996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615.38</v>
      </c>
      <c r="H40" s="218">
        <f t="shared" si="9"/>
        <v>-479.44999999999993</v>
      </c>
      <c r="I40" s="220">
        <f t="shared" si="12"/>
        <v>0.562078130851365</v>
      </c>
      <c r="J40" s="221">
        <f t="shared" si="1"/>
        <v>-2784.62</v>
      </c>
      <c r="K40" s="222">
        <f t="shared" si="14"/>
        <v>0.18099411764705883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605.43</v>
      </c>
      <c r="S40" s="221">
        <f t="shared" si="5"/>
        <v>9.950000000000045</v>
      </c>
      <c r="T40" s="222">
        <f t="shared" si="6"/>
        <v>1.0164346002015097</v>
      </c>
      <c r="U40" s="206">
        <f>F40-квітень!F40</f>
        <v>283.9999999999999</v>
      </c>
      <c r="V40" s="206">
        <f>G40-квітень!G40</f>
        <v>272.08</v>
      </c>
      <c r="W40" s="221">
        <f t="shared" si="10"/>
        <v>-11.919999999999902</v>
      </c>
      <c r="X40" s="222">
        <f t="shared" si="17"/>
        <v>95.80281690140848</v>
      </c>
      <c r="Y40" s="465">
        <f t="shared" si="15"/>
        <v>0.0052641406542761615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7991.16</v>
      </c>
      <c r="H41" s="218">
        <f t="shared" si="9"/>
        <v>198.35999999999967</v>
      </c>
      <c r="I41" s="220">
        <f t="shared" si="12"/>
        <v>1.0254542654758239</v>
      </c>
      <c r="J41" s="221">
        <f t="shared" si="1"/>
        <v>-13108.84</v>
      </c>
      <c r="K41" s="222">
        <f t="shared" si="14"/>
        <v>0.37872796208530807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7998.77</v>
      </c>
      <c r="S41" s="221">
        <f t="shared" si="5"/>
        <v>-7.610000000000582</v>
      </c>
      <c r="T41" s="222">
        <f t="shared" si="6"/>
        <v>0.9990486037228223</v>
      </c>
      <c r="U41" s="206">
        <f>F41-квітень!F41</f>
        <v>1700</v>
      </c>
      <c r="V41" s="206">
        <f>G41-квітень!G41</f>
        <v>1562.83</v>
      </c>
      <c r="W41" s="221">
        <f t="shared" si="10"/>
        <v>-137.17000000000007</v>
      </c>
      <c r="X41" s="222">
        <f t="shared" si="17"/>
        <v>91.93117647058823</v>
      </c>
      <c r="Y41" s="465">
        <f t="shared" si="15"/>
        <v>-0.03696235147927829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81.65</v>
      </c>
      <c r="H43" s="102">
        <f t="shared" si="9"/>
        <v>4.219999999999999</v>
      </c>
      <c r="I43" s="208">
        <f>G43/F43</f>
        <v>1.0545008394679065</v>
      </c>
      <c r="J43" s="108">
        <f t="shared" si="1"/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75.23</v>
      </c>
      <c r="S43" s="108">
        <f t="shared" si="5"/>
        <v>6.420000000000002</v>
      </c>
      <c r="T43" s="148">
        <f aca="true" t="shared" si="18" ref="T43:T51">G43/R43</f>
        <v>1.0853382958925961</v>
      </c>
      <c r="U43" s="107">
        <f>F43-квітень!F43</f>
        <v>27.000000000000007</v>
      </c>
      <c r="V43" s="110">
        <f>G43-квітень!G43</f>
        <v>13.690000000000012</v>
      </c>
      <c r="W43" s="111">
        <f t="shared" si="10"/>
        <v>-13.309999999999995</v>
      </c>
      <c r="X43" s="148">
        <f>V43/U43</f>
        <v>0.5070370370370374</v>
      </c>
      <c r="Y43" s="466">
        <f t="shared" si="15"/>
        <v>-0.02676475218800589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63.74</v>
      </c>
      <c r="H44" s="71">
        <f t="shared" si="9"/>
        <v>15.840000000000003</v>
      </c>
      <c r="I44" s="209">
        <f>G44/F44</f>
        <v>1.3306889352818372</v>
      </c>
      <c r="J44" s="72">
        <f t="shared" si="1"/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44.26</v>
      </c>
      <c r="S44" s="72">
        <f t="shared" si="5"/>
        <v>19.480000000000004</v>
      </c>
      <c r="T44" s="75">
        <f t="shared" si="18"/>
        <v>1.4401265250790782</v>
      </c>
      <c r="U44" s="73">
        <f>F44-квітень!F44</f>
        <v>17</v>
      </c>
      <c r="V44" s="98">
        <f>G44-квітень!G44</f>
        <v>7.690000000000005</v>
      </c>
      <c r="W44" s="74">
        <f t="shared" si="10"/>
        <v>-9.309999999999995</v>
      </c>
      <c r="X44" s="75">
        <f>V44/U44</f>
        <v>0.45235294117647085</v>
      </c>
      <c r="Y44" s="465">
        <f t="shared" si="15"/>
        <v>0.37958416644968995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 t="shared" si="9"/>
        <v>-11.620000000000001</v>
      </c>
      <c r="I45" s="209">
        <f>G45/F45</f>
        <v>0.6065018625126989</v>
      </c>
      <c r="J45" s="72">
        <f t="shared" si="1"/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30.97</v>
      </c>
      <c r="S45" s="72">
        <f t="shared" si="5"/>
        <v>-13.059999999999999</v>
      </c>
      <c r="T45" s="75">
        <f t="shared" si="18"/>
        <v>0.5783015821762997</v>
      </c>
      <c r="U45" s="73">
        <f>F45-квітень!F45</f>
        <v>10</v>
      </c>
      <c r="V45" s="98">
        <f>G45-квітень!G45</f>
        <v>6</v>
      </c>
      <c r="W45" s="74">
        <f t="shared" si="10"/>
        <v>-4</v>
      </c>
      <c r="X45" s="75">
        <f>V45/U45</f>
        <v>0.6</v>
      </c>
      <c r="Y45" s="465">
        <f t="shared" si="15"/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 t="shared" si="9"/>
        <v>-21.01</v>
      </c>
      <c r="I46" s="208"/>
      <c r="J46" s="108">
        <f t="shared" si="1"/>
        <v>-21.01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-26.77</v>
      </c>
      <c r="S46" s="108">
        <f t="shared" si="5"/>
        <v>5.759999999999998</v>
      </c>
      <c r="T46" s="148">
        <f t="shared" si="18"/>
        <v>0.7848337691445649</v>
      </c>
      <c r="U46" s="107">
        <f>F46-квітень!F46</f>
        <v>0</v>
      </c>
      <c r="V46" s="110">
        <f>G46-квітень!G46</f>
        <v>-19.830000000000002</v>
      </c>
      <c r="W46" s="111">
        <f t="shared" si="10"/>
        <v>-19.830000000000002</v>
      </c>
      <c r="X46" s="148"/>
      <c r="Y46" s="197">
        <f t="shared" si="15"/>
        <v>0.7848337691445649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117356.76</v>
      </c>
      <c r="G47" s="113">
        <v>119579.24</v>
      </c>
      <c r="H47" s="102">
        <f t="shared" si="9"/>
        <v>2222.4800000000105</v>
      </c>
      <c r="I47" s="208">
        <f>G47/F47</f>
        <v>1.0189378098032018</v>
      </c>
      <c r="J47" s="108">
        <f t="shared" si="1"/>
        <v>-137071.56</v>
      </c>
      <c r="K47" s="148">
        <f>G47/E47</f>
        <v>0.46592194530467085</v>
      </c>
      <c r="L47" s="108"/>
      <c r="M47" s="108"/>
      <c r="N47" s="108"/>
      <c r="O47" s="108">
        <v>223368.23</v>
      </c>
      <c r="P47" s="108">
        <f t="shared" si="3"/>
        <v>33282.56999999998</v>
      </c>
      <c r="Q47" s="148">
        <f t="shared" si="4"/>
        <v>1.1490031505375673</v>
      </c>
      <c r="R47" s="123">
        <v>96524.99</v>
      </c>
      <c r="S47" s="123">
        <f t="shared" si="5"/>
        <v>23054.25</v>
      </c>
      <c r="T47" s="160">
        <f t="shared" si="18"/>
        <v>1.2388422935863552</v>
      </c>
      <c r="U47" s="107">
        <f>F47-квітень!F47</f>
        <v>28200</v>
      </c>
      <c r="V47" s="110">
        <f>G47-квітень!G47</f>
        <v>28264.70000000001</v>
      </c>
      <c r="W47" s="111">
        <f t="shared" si="10"/>
        <v>64.70000000001164</v>
      </c>
      <c r="X47" s="148">
        <f>V47/U47</f>
        <v>1.0022943262411352</v>
      </c>
      <c r="Y47" s="197">
        <f t="shared" si="15"/>
        <v>0.08983914304878793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F48-квітень!F48</f>
        <v>0</v>
      </c>
      <c r="V48" s="98">
        <f>G48-квітень!G48</f>
        <v>0</v>
      </c>
      <c r="W48" s="74">
        <f t="shared" si="10"/>
        <v>0</v>
      </c>
      <c r="X48" s="75"/>
      <c r="Y48" s="197">
        <f t="shared" si="15"/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23123.2</v>
      </c>
      <c r="H49" s="71">
        <f>G49-F49</f>
        <v>-2360.6699999999983</v>
      </c>
      <c r="I49" s="209">
        <f>G49/F49</f>
        <v>0.9073661104063081</v>
      </c>
      <c r="J49" s="72">
        <f t="shared" si="1"/>
        <v>-32591.8</v>
      </c>
      <c r="K49" s="75">
        <f>G49/E49</f>
        <v>0.4150264740195639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19261.69</v>
      </c>
      <c r="S49" s="85">
        <f t="shared" si="5"/>
        <v>3861.510000000002</v>
      </c>
      <c r="T49" s="153">
        <f t="shared" si="18"/>
        <v>1.2004761783623348</v>
      </c>
      <c r="U49" s="73">
        <f>F49-квітень!F49</f>
        <v>6500</v>
      </c>
      <c r="V49" s="98">
        <f>G49-квітень!G49</f>
        <v>5200.040000000001</v>
      </c>
      <c r="W49" s="74">
        <f t="shared" si="10"/>
        <v>-1299.9599999999991</v>
      </c>
      <c r="X49" s="75">
        <f>V49/U49</f>
        <v>0.800006153846154</v>
      </c>
      <c r="Y49" s="197">
        <f t="shared" si="15"/>
        <v>-0.036800733159985555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f>89740.49+2100</f>
        <v>91840.49</v>
      </c>
      <c r="G50" s="94">
        <v>96423.63</v>
      </c>
      <c r="H50" s="71">
        <f>G50-F50</f>
        <v>4583.139999999999</v>
      </c>
      <c r="I50" s="209">
        <f>G50/F50</f>
        <v>1.0499032616224064</v>
      </c>
      <c r="J50" s="72">
        <f t="shared" si="1"/>
        <v>-104431.37</v>
      </c>
      <c r="K50" s="75">
        <f>G50/E50</f>
        <v>0.48006586841253646</v>
      </c>
      <c r="L50" s="72"/>
      <c r="M50" s="72"/>
      <c r="N50" s="72"/>
      <c r="O50" s="72">
        <v>178270.24</v>
      </c>
      <c r="P50" s="72">
        <f t="shared" si="3"/>
        <v>22584.76000000001</v>
      </c>
      <c r="Q50" s="75">
        <f t="shared" si="4"/>
        <v>1.1266883356414397</v>
      </c>
      <c r="R50" s="85">
        <v>77240.19</v>
      </c>
      <c r="S50" s="85">
        <f t="shared" si="5"/>
        <v>19183.440000000002</v>
      </c>
      <c r="T50" s="153">
        <f t="shared" si="18"/>
        <v>1.2483608598062745</v>
      </c>
      <c r="U50" s="73">
        <f>F50-квітень!F50</f>
        <v>21700</v>
      </c>
      <c r="V50" s="98">
        <f>G50-квітень!G50</f>
        <v>23064.660000000003</v>
      </c>
      <c r="W50" s="74">
        <f t="shared" si="10"/>
        <v>1364.6600000000035</v>
      </c>
      <c r="X50" s="75">
        <f>V50/U50</f>
        <v>1.0628875576036867</v>
      </c>
      <c r="Y50" s="197">
        <f t="shared" si="15"/>
        <v>0.12167252416483487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8"/>
        <v>1.4036379385015156</v>
      </c>
      <c r="U51" s="73">
        <f>F51-квітень!F51</f>
        <v>0</v>
      </c>
      <c r="V51" s="98">
        <f>G51-квітень!G51</f>
        <v>0</v>
      </c>
      <c r="W51" s="74">
        <f t="shared" si="10"/>
        <v>0</v>
      </c>
      <c r="X51" s="75"/>
      <c r="Y51" s="197">
        <f t="shared" si="15"/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F52-квітень!F52</f>
        <v>0</v>
      </c>
      <c r="V52" s="99">
        <f>G52-квітень!G52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23391.800000000003</v>
      </c>
      <c r="G53" s="103">
        <f>G54+G55+G56+G57+G58+G60+G62+G63+G64+G65+G66+G71+G72+G76+G59+G61+G77</f>
        <v>24067.379999999997</v>
      </c>
      <c r="H53" s="315">
        <f aca="true" t="shared" si="19" ref="H53:H79">G53-F53</f>
        <v>675.5799999999945</v>
      </c>
      <c r="I53" s="143">
        <f aca="true" t="shared" si="20" ref="I53:I72">G53/F53</f>
        <v>1.0288810608845833</v>
      </c>
      <c r="J53" s="104">
        <f>G53-E53</f>
        <v>-26181.520000000004</v>
      </c>
      <c r="K53" s="156">
        <f aca="true" t="shared" si="21" ref="K53:K72">G53/E53</f>
        <v>0.4789633205901024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27355.12</v>
      </c>
      <c r="S53" s="103">
        <f t="shared" si="5"/>
        <v>-3287.7400000000016</v>
      </c>
      <c r="T53" s="143">
        <f>G53/R53</f>
        <v>0.879812627398454</v>
      </c>
      <c r="U53" s="103">
        <f>U54+U55+U56+U57+U58+U60+U62+U63+U64+U65+U66+U71+U72+U76+U59+U61+U77</f>
        <v>9001.25</v>
      </c>
      <c r="V53" s="103">
        <f>V54+V55+V56+V57+V58+V60+V62+V63+V64+V65+V66+V71+V72+V76+V59+V61+V77</f>
        <v>7931.590000000001</v>
      </c>
      <c r="W53" s="467">
        <f aca="true" t="shared" si="22" ref="W53:W79">V53-U53</f>
        <v>-1069.659999999999</v>
      </c>
      <c r="X53" s="143">
        <f>V53/U53</f>
        <v>0.8811653936953202</v>
      </c>
      <c r="Y53" s="197">
        <f t="shared" si="15"/>
        <v>0.15556658763366538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 t="shared" si="19"/>
        <v>77.44999999999982</v>
      </c>
      <c r="I54" s="213">
        <f t="shared" si="20"/>
        <v>1.0292264150943395</v>
      </c>
      <c r="J54" s="115">
        <f>G54-E54</f>
        <v>77.44999999999982</v>
      </c>
      <c r="K54" s="155">
        <f t="shared" si="21"/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 t="shared" si="5"/>
        <v>522.6799999999998</v>
      </c>
      <c r="T54" s="155">
        <f>G54/R54</f>
        <v>1.237067812062029</v>
      </c>
      <c r="U54" s="107">
        <f>F54-квітень!F54</f>
        <v>2643.89</v>
      </c>
      <c r="V54" s="110">
        <f>G54-квітень!G54</f>
        <v>2668.54</v>
      </c>
      <c r="W54" s="111">
        <f t="shared" si="22"/>
        <v>24.65000000000009</v>
      </c>
      <c r="X54" s="155">
        <f>V54/U54</f>
        <v>1.0093233833480213</v>
      </c>
      <c r="Y54" s="197">
        <f t="shared" si="15"/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f>1500.08+1800</f>
        <v>3300.08</v>
      </c>
      <c r="G55" s="106">
        <v>3366.37</v>
      </c>
      <c r="H55" s="102">
        <f t="shared" si="19"/>
        <v>66.28999999999996</v>
      </c>
      <c r="I55" s="213">
        <f t="shared" si="20"/>
        <v>1.0200873918208044</v>
      </c>
      <c r="J55" s="115">
        <f aca="true" t="shared" si="23" ref="J55:J79">G55-E55</f>
        <v>-3633.63</v>
      </c>
      <c r="K55" s="155">
        <f t="shared" si="21"/>
        <v>0.48091</v>
      </c>
      <c r="L55" s="115"/>
      <c r="M55" s="115"/>
      <c r="N55" s="115"/>
      <c r="O55" s="115">
        <v>27997.6</v>
      </c>
      <c r="P55" s="115">
        <f aca="true" t="shared" si="24" ref="P55:P72">E55-O55</f>
        <v>-20997.6</v>
      </c>
      <c r="Q55" s="155">
        <f aca="true" t="shared" si="25" ref="Q55:Q72">E55/O55</f>
        <v>0.2500214304083207</v>
      </c>
      <c r="R55" s="115">
        <v>10479.16</v>
      </c>
      <c r="S55" s="115">
        <f t="shared" si="5"/>
        <v>-7112.79</v>
      </c>
      <c r="T55" s="155">
        <f aca="true" t="shared" si="26" ref="T55:T79">G55/R55</f>
        <v>0.3212442600361098</v>
      </c>
      <c r="U55" s="107">
        <f>F55-квітень!F55</f>
        <v>2300</v>
      </c>
      <c r="V55" s="110">
        <f>G55-квітень!G55</f>
        <v>1129.1999999999998</v>
      </c>
      <c r="W55" s="111">
        <f t="shared" si="22"/>
        <v>-1170.8000000000002</v>
      </c>
      <c r="X55" s="155">
        <f aca="true" t="shared" si="27" ref="X55:X78">V55/U55</f>
        <v>0.49095652173913035</v>
      </c>
      <c r="Y55" s="197">
        <f t="shared" si="15"/>
        <v>0.07122282962778909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 t="shared" si="19"/>
        <v>-4.18</v>
      </c>
      <c r="I56" s="213">
        <f t="shared" si="20"/>
        <v>0.9253571428571429</v>
      </c>
      <c r="J56" s="115">
        <f t="shared" si="23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4"/>
        <v>4.699999999999989</v>
      </c>
      <c r="Q56" s="155">
        <f t="shared" si="25"/>
        <v>1.030658838878017</v>
      </c>
      <c r="R56" s="115">
        <v>92.8</v>
      </c>
      <c r="S56" s="115">
        <f t="shared" si="5"/>
        <v>-40.98</v>
      </c>
      <c r="T56" s="155">
        <f t="shared" si="26"/>
        <v>0.5584051724137932</v>
      </c>
      <c r="U56" s="107">
        <f>F56-квітень!F56</f>
        <v>14</v>
      </c>
      <c r="V56" s="110">
        <f>G56-квітень!G56</f>
        <v>0</v>
      </c>
      <c r="W56" s="111">
        <f t="shared" si="22"/>
        <v>-14</v>
      </c>
      <c r="X56" s="155">
        <f t="shared" si="27"/>
        <v>0</v>
      </c>
      <c r="Y56" s="197">
        <f t="shared" si="15"/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 t="shared" si="19"/>
        <v>-3.98</v>
      </c>
      <c r="I57" s="213">
        <f t="shared" si="20"/>
        <v>0.33666666666666667</v>
      </c>
      <c r="J57" s="115">
        <f t="shared" si="23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4"/>
        <v>0.05000000000000071</v>
      </c>
      <c r="Q57" s="225">
        <f t="shared" si="25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 t="shared" si="22"/>
        <v>-1</v>
      </c>
      <c r="X57" s="155">
        <f t="shared" si="27"/>
        <v>0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544.78</v>
      </c>
      <c r="H58" s="102">
        <f t="shared" si="19"/>
        <v>276.34999999999997</v>
      </c>
      <c r="I58" s="213">
        <f t="shared" si="20"/>
        <v>2.0295048988563127</v>
      </c>
      <c r="J58" s="115">
        <f t="shared" si="23"/>
        <v>-199.22000000000003</v>
      </c>
      <c r="K58" s="155">
        <f t="shared" si="21"/>
        <v>0.7322311827956989</v>
      </c>
      <c r="L58" s="115"/>
      <c r="M58" s="115"/>
      <c r="N58" s="115"/>
      <c r="O58" s="115">
        <v>705.31</v>
      </c>
      <c r="P58" s="115">
        <f t="shared" si="24"/>
        <v>38.690000000000055</v>
      </c>
      <c r="Q58" s="155">
        <f t="shared" si="25"/>
        <v>1.0548553118486907</v>
      </c>
      <c r="R58" s="115">
        <v>442.26</v>
      </c>
      <c r="S58" s="115">
        <f t="shared" si="5"/>
        <v>102.51999999999998</v>
      </c>
      <c r="T58" s="155">
        <f t="shared" si="26"/>
        <v>1.231809342920454</v>
      </c>
      <c r="U58" s="107">
        <f>F58-квітень!F58</f>
        <v>60</v>
      </c>
      <c r="V58" s="110">
        <f>G58-квітень!G58</f>
        <v>299</v>
      </c>
      <c r="W58" s="111">
        <f t="shared" si="22"/>
        <v>239</v>
      </c>
      <c r="X58" s="155">
        <f t="shared" si="27"/>
        <v>4.983333333333333</v>
      </c>
      <c r="Y58" s="197">
        <f t="shared" si="15"/>
        <v>0.17695403107176322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48.18</v>
      </c>
      <c r="H59" s="102">
        <f t="shared" si="19"/>
        <v>8.18</v>
      </c>
      <c r="I59" s="213">
        <f t="shared" si="20"/>
        <v>1.2045</v>
      </c>
      <c r="J59" s="115">
        <f t="shared" si="23"/>
        <v>-67.32</v>
      </c>
      <c r="K59" s="155">
        <f t="shared" si="21"/>
        <v>0.41714285714285715</v>
      </c>
      <c r="L59" s="115"/>
      <c r="M59" s="115"/>
      <c r="N59" s="115"/>
      <c r="O59" s="115">
        <v>114.3</v>
      </c>
      <c r="P59" s="115">
        <f t="shared" si="24"/>
        <v>1.2000000000000028</v>
      </c>
      <c r="Q59" s="155">
        <f t="shared" si="25"/>
        <v>1.010498687664042</v>
      </c>
      <c r="R59" s="115">
        <v>1.01</v>
      </c>
      <c r="S59" s="115">
        <f t="shared" si="5"/>
        <v>47.17</v>
      </c>
      <c r="T59" s="155">
        <f t="shared" si="26"/>
        <v>47.7029702970297</v>
      </c>
      <c r="U59" s="107">
        <f>F59-квітень!F59</f>
        <v>10</v>
      </c>
      <c r="V59" s="110">
        <f>G59-квітень!G59</f>
        <v>8.96</v>
      </c>
      <c r="W59" s="111">
        <f t="shared" si="22"/>
        <v>-1.0399999999999991</v>
      </c>
      <c r="X59" s="155">
        <f t="shared" si="27"/>
        <v>0.8960000000000001</v>
      </c>
      <c r="Y59" s="197">
        <f t="shared" si="15"/>
        <v>46.69247160936566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473.76</v>
      </c>
      <c r="H60" s="102">
        <f t="shared" si="19"/>
        <v>-24.24000000000001</v>
      </c>
      <c r="I60" s="213">
        <f t="shared" si="20"/>
        <v>0.9513253012048193</v>
      </c>
      <c r="J60" s="115">
        <f t="shared" si="23"/>
        <v>-810.24</v>
      </c>
      <c r="K60" s="155">
        <f t="shared" si="21"/>
        <v>0.3689719626168224</v>
      </c>
      <c r="L60" s="115"/>
      <c r="M60" s="115"/>
      <c r="N60" s="115"/>
      <c r="O60" s="115">
        <v>1205.14</v>
      </c>
      <c r="P60" s="115">
        <f t="shared" si="24"/>
        <v>78.8599999999999</v>
      </c>
      <c r="Q60" s="155">
        <f t="shared" si="25"/>
        <v>1.0654363808354215</v>
      </c>
      <c r="R60" s="115">
        <v>505.13</v>
      </c>
      <c r="S60" s="115">
        <f t="shared" si="5"/>
        <v>-31.370000000000005</v>
      </c>
      <c r="T60" s="155">
        <f t="shared" si="26"/>
        <v>0.9378971749846574</v>
      </c>
      <c r="U60" s="107">
        <f>F60-квітень!F60</f>
        <v>114</v>
      </c>
      <c r="V60" s="110">
        <f>G60-квітень!G60</f>
        <v>97.37</v>
      </c>
      <c r="W60" s="111">
        <f t="shared" si="22"/>
        <v>-16.629999999999995</v>
      </c>
      <c r="X60" s="155">
        <f t="shared" si="27"/>
        <v>0.854122807017544</v>
      </c>
      <c r="Y60" s="197">
        <f t="shared" si="15"/>
        <v>-0.12753920585076406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19"/>
        <v>0</v>
      </c>
      <c r="I61" s="213" t="e">
        <f t="shared" si="20"/>
        <v>#DIV/0!</v>
      </c>
      <c r="J61" s="115">
        <f t="shared" si="23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4"/>
        <v>-23.38</v>
      </c>
      <c r="Q61" s="155">
        <f t="shared" si="25"/>
        <v>0</v>
      </c>
      <c r="R61" s="115">
        <v>0</v>
      </c>
      <c r="S61" s="115">
        <f t="shared" si="5"/>
        <v>0</v>
      </c>
      <c r="T61" s="155"/>
      <c r="U61" s="107">
        <f>F61-квітень!F61</f>
        <v>0</v>
      </c>
      <c r="V61" s="110">
        <f>G61-квітень!G61</f>
        <v>0</v>
      </c>
      <c r="W61" s="111">
        <f t="shared" si="22"/>
        <v>0</v>
      </c>
      <c r="X61" s="155" t="e">
        <f t="shared" si="27"/>
        <v>#DIV/0!</v>
      </c>
      <c r="Y61" s="197">
        <f t="shared" si="15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f>9290+800</f>
        <v>10090</v>
      </c>
      <c r="G62" s="106">
        <v>10554.88</v>
      </c>
      <c r="H62" s="102">
        <f t="shared" si="19"/>
        <v>464.8799999999992</v>
      </c>
      <c r="I62" s="213">
        <f t="shared" si="20"/>
        <v>1.046073339940535</v>
      </c>
      <c r="J62" s="115">
        <f t="shared" si="23"/>
        <v>-11705.12</v>
      </c>
      <c r="K62" s="155">
        <f t="shared" si="21"/>
        <v>0.47416352201257855</v>
      </c>
      <c r="L62" s="115"/>
      <c r="M62" s="115"/>
      <c r="N62" s="115"/>
      <c r="O62" s="115">
        <v>20110.14</v>
      </c>
      <c r="P62" s="115">
        <f t="shared" si="24"/>
        <v>2149.8600000000006</v>
      </c>
      <c r="Q62" s="155">
        <f t="shared" si="25"/>
        <v>1.1069042781402816</v>
      </c>
      <c r="R62" s="115">
        <v>6250.27</v>
      </c>
      <c r="S62" s="115">
        <f t="shared" si="5"/>
        <v>4304.609999999999</v>
      </c>
      <c r="T62" s="155">
        <f t="shared" si="26"/>
        <v>1.6887078478209738</v>
      </c>
      <c r="U62" s="107">
        <f>F62-квітень!F62</f>
        <v>2600</v>
      </c>
      <c r="V62" s="110">
        <f>G62-квітень!G62</f>
        <v>2262.42</v>
      </c>
      <c r="W62" s="111">
        <f t="shared" si="22"/>
        <v>-337.5799999999999</v>
      </c>
      <c r="X62" s="155">
        <f t="shared" si="27"/>
        <v>0.8701615384615385</v>
      </c>
      <c r="Y62" s="197">
        <f t="shared" si="15"/>
        <v>0.5818035696806922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346.44</v>
      </c>
      <c r="H63" s="102">
        <f t="shared" si="19"/>
        <v>33.44</v>
      </c>
      <c r="I63" s="213">
        <f t="shared" si="20"/>
        <v>1.1068370607028755</v>
      </c>
      <c r="J63" s="115">
        <f t="shared" si="23"/>
        <v>-420.56</v>
      </c>
      <c r="K63" s="155">
        <f t="shared" si="21"/>
        <v>0.4516818774445893</v>
      </c>
      <c r="L63" s="115"/>
      <c r="M63" s="115"/>
      <c r="N63" s="115"/>
      <c r="O63" s="115">
        <v>710.04</v>
      </c>
      <c r="P63" s="115">
        <f t="shared" si="24"/>
        <v>56.960000000000036</v>
      </c>
      <c r="Q63" s="155">
        <f t="shared" si="25"/>
        <v>1.0802208326291478</v>
      </c>
      <c r="R63" s="115">
        <v>216.35</v>
      </c>
      <c r="S63" s="115">
        <f t="shared" si="5"/>
        <v>130.09</v>
      </c>
      <c r="T63" s="155">
        <f t="shared" si="26"/>
        <v>1.6012941992142362</v>
      </c>
      <c r="U63" s="107">
        <f>F63-квітень!F63</f>
        <v>64</v>
      </c>
      <c r="V63" s="110">
        <f>G63-квітень!G63</f>
        <v>73.58999999999997</v>
      </c>
      <c r="W63" s="111">
        <f t="shared" si="22"/>
        <v>9.589999999999975</v>
      </c>
      <c r="X63" s="155">
        <f t="shared" si="27"/>
        <v>1.1498437499999996</v>
      </c>
      <c r="Y63" s="197">
        <f t="shared" si="15"/>
        <v>0.5210733665850884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14.82</v>
      </c>
      <c r="H64" s="102">
        <f t="shared" si="19"/>
        <v>-1.1799999999999997</v>
      </c>
      <c r="I64" s="213">
        <f t="shared" si="20"/>
        <v>0.92625</v>
      </c>
      <c r="J64" s="115">
        <f t="shared" si="23"/>
        <v>-29.18</v>
      </c>
      <c r="K64" s="155">
        <f t="shared" si="21"/>
        <v>0.33681818181818185</v>
      </c>
      <c r="L64" s="115"/>
      <c r="M64" s="115"/>
      <c r="N64" s="115"/>
      <c r="O64" s="115">
        <v>41.44</v>
      </c>
      <c r="P64" s="115">
        <f t="shared" si="24"/>
        <v>2.5600000000000023</v>
      </c>
      <c r="Q64" s="155">
        <f t="shared" si="25"/>
        <v>1.0617760617760619</v>
      </c>
      <c r="R64" s="115">
        <v>12.32</v>
      </c>
      <c r="S64" s="115">
        <f t="shared" si="5"/>
        <v>2.5</v>
      </c>
      <c r="T64" s="155">
        <f t="shared" si="26"/>
        <v>1.202922077922078</v>
      </c>
      <c r="U64" s="107">
        <f>F64-квітень!F64</f>
        <v>4</v>
      </c>
      <c r="V64" s="110">
        <f>G64-квітень!G64</f>
        <v>1.7599999999999998</v>
      </c>
      <c r="W64" s="111">
        <f t="shared" si="22"/>
        <v>-2.24</v>
      </c>
      <c r="X64" s="155">
        <f t="shared" si="27"/>
        <v>0.43999999999999995</v>
      </c>
      <c r="Y64" s="197">
        <f t="shared" si="15"/>
        <v>0.14114601614601607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 t="shared" si="19"/>
        <v>339.3899999999999</v>
      </c>
      <c r="I65" s="213">
        <f t="shared" si="20"/>
        <v>1.135756</v>
      </c>
      <c r="J65" s="115">
        <f t="shared" si="23"/>
        <v>-3160.61</v>
      </c>
      <c r="K65" s="155">
        <f t="shared" si="21"/>
        <v>0.47323166666666666</v>
      </c>
      <c r="L65" s="115"/>
      <c r="M65" s="115"/>
      <c r="N65" s="115"/>
      <c r="O65" s="115">
        <v>6545.96</v>
      </c>
      <c r="P65" s="115">
        <f t="shared" si="24"/>
        <v>-545.96</v>
      </c>
      <c r="Q65" s="155">
        <f t="shared" si="25"/>
        <v>0.9165958850955398</v>
      </c>
      <c r="R65" s="115">
        <v>2721.32</v>
      </c>
      <c r="S65" s="115">
        <f t="shared" si="5"/>
        <v>118.06999999999971</v>
      </c>
      <c r="T65" s="155">
        <f t="shared" si="26"/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 t="shared" si="22"/>
        <v>123.69999999999982</v>
      </c>
      <c r="X65" s="155">
        <f t="shared" si="27"/>
        <v>1.2838067269306652</v>
      </c>
      <c r="Y65" s="197">
        <f t="shared" si="15"/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296.93</v>
      </c>
      <c r="H66" s="102">
        <f t="shared" si="19"/>
        <v>-47.20999999999998</v>
      </c>
      <c r="I66" s="213">
        <f t="shared" si="20"/>
        <v>0.8628174580112745</v>
      </c>
      <c r="J66" s="115">
        <f t="shared" si="23"/>
        <v>-569.0699999999999</v>
      </c>
      <c r="K66" s="155">
        <f t="shared" si="21"/>
        <v>0.3428752886836028</v>
      </c>
      <c r="L66" s="115"/>
      <c r="M66" s="115"/>
      <c r="N66" s="115"/>
      <c r="O66" s="115">
        <v>896.22</v>
      </c>
      <c r="P66" s="115">
        <f t="shared" si="24"/>
        <v>-30.220000000000027</v>
      </c>
      <c r="Q66" s="155">
        <f t="shared" si="25"/>
        <v>0.9662806007453527</v>
      </c>
      <c r="R66" s="115">
        <v>333.52</v>
      </c>
      <c r="S66" s="115">
        <f t="shared" si="5"/>
        <v>-36.589999999999975</v>
      </c>
      <c r="T66" s="155">
        <f t="shared" si="26"/>
        <v>0.8902914367953947</v>
      </c>
      <c r="U66" s="107">
        <f>F66-квітень!F66</f>
        <v>74.5</v>
      </c>
      <c r="V66" s="110">
        <f>G66-квітень!G66</f>
        <v>64.68</v>
      </c>
      <c r="W66" s="111">
        <f t="shared" si="22"/>
        <v>-9.819999999999993</v>
      </c>
      <c r="X66" s="155">
        <f t="shared" si="27"/>
        <v>0.8681879194630874</v>
      </c>
      <c r="Y66" s="197">
        <f t="shared" si="15"/>
        <v>-0.07598916394995803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235.99</v>
      </c>
      <c r="H67" s="71">
        <f t="shared" si="19"/>
        <v>-50.43000000000001</v>
      </c>
      <c r="I67" s="209">
        <f t="shared" si="20"/>
        <v>0.8239298931638852</v>
      </c>
      <c r="J67" s="72">
        <f t="shared" si="23"/>
        <v>-492.21000000000004</v>
      </c>
      <c r="K67" s="75">
        <f t="shared" si="21"/>
        <v>0.32407305685251303</v>
      </c>
      <c r="L67" s="72"/>
      <c r="M67" s="72"/>
      <c r="N67" s="72"/>
      <c r="O67" s="72">
        <v>760.62</v>
      </c>
      <c r="P67" s="72">
        <f t="shared" si="24"/>
        <v>-32.41999999999996</v>
      </c>
      <c r="Q67" s="75">
        <f t="shared" si="25"/>
        <v>0.957376876758434</v>
      </c>
      <c r="R67" s="72">
        <v>290.38</v>
      </c>
      <c r="S67" s="203">
        <f t="shared" si="5"/>
        <v>-54.389999999999986</v>
      </c>
      <c r="T67" s="204">
        <f t="shared" si="26"/>
        <v>0.8126937116881329</v>
      </c>
      <c r="U67" s="73">
        <f>F67-квітень!F67</f>
        <v>63.00000000000003</v>
      </c>
      <c r="V67" s="98">
        <f>G67-квітень!G67</f>
        <v>51.48000000000002</v>
      </c>
      <c r="W67" s="74">
        <f t="shared" si="22"/>
        <v>-11.52000000000001</v>
      </c>
      <c r="X67" s="75">
        <f t="shared" si="27"/>
        <v>0.8171428571428571</v>
      </c>
      <c r="Y67" s="197">
        <f t="shared" si="15"/>
        <v>-0.1446831650703011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 t="shared" si="19"/>
        <v>-0.21</v>
      </c>
      <c r="I68" s="209">
        <f t="shared" si="20"/>
        <v>0.3</v>
      </c>
      <c r="J68" s="72">
        <f t="shared" si="23"/>
        <v>-0.91</v>
      </c>
      <c r="K68" s="75">
        <f t="shared" si="21"/>
        <v>0.09</v>
      </c>
      <c r="L68" s="72"/>
      <c r="M68" s="72"/>
      <c r="N68" s="72"/>
      <c r="O68" s="72">
        <v>0.18</v>
      </c>
      <c r="P68" s="72">
        <f t="shared" si="24"/>
        <v>0.8200000000000001</v>
      </c>
      <c r="Q68" s="75">
        <f t="shared" si="25"/>
        <v>5.555555555555555</v>
      </c>
      <c r="R68" s="72">
        <v>0.15</v>
      </c>
      <c r="S68" s="203">
        <f t="shared" si="5"/>
        <v>-0.06</v>
      </c>
      <c r="T68" s="204">
        <f t="shared" si="26"/>
        <v>0.6</v>
      </c>
      <c r="U68" s="73">
        <f>F68-квітень!F68</f>
        <v>0.09999999999999998</v>
      </c>
      <c r="V68" s="98">
        <f>G68-квітень!G68</f>
        <v>0.03</v>
      </c>
      <c r="W68" s="74">
        <f t="shared" si="22"/>
        <v>-0.06999999999999998</v>
      </c>
      <c r="X68" s="75"/>
      <c r="Y68" s="197">
        <f t="shared" si="15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19"/>
        <v>0</v>
      </c>
      <c r="I69" s="209" t="e">
        <f t="shared" si="20"/>
        <v>#DIV/0!</v>
      </c>
      <c r="J69" s="72">
        <f t="shared" si="23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4"/>
        <v>0</v>
      </c>
      <c r="Q69" s="75" t="e">
        <f t="shared" si="25"/>
        <v>#DIV/0!</v>
      </c>
      <c r="R69" s="72">
        <f>O69</f>
        <v>0</v>
      </c>
      <c r="S69" s="203">
        <f t="shared" si="5"/>
        <v>0</v>
      </c>
      <c r="T69" s="204" t="e">
        <f t="shared" si="26"/>
        <v>#DIV/0!</v>
      </c>
      <c r="U69" s="73">
        <f>F69-квітень!F69</f>
        <v>0</v>
      </c>
      <c r="V69" s="98">
        <f>G69-квітень!G69</f>
        <v>0</v>
      </c>
      <c r="W69" s="74">
        <f t="shared" si="22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60.85</v>
      </c>
      <c r="H70" s="71">
        <f t="shared" si="19"/>
        <v>3.4299999999999997</v>
      </c>
      <c r="I70" s="209">
        <f t="shared" si="20"/>
        <v>1.0597352838732148</v>
      </c>
      <c r="J70" s="72">
        <f t="shared" si="23"/>
        <v>-75.95000000000002</v>
      </c>
      <c r="K70" s="75">
        <f t="shared" si="21"/>
        <v>0.4448099415204678</v>
      </c>
      <c r="L70" s="72"/>
      <c r="M70" s="72"/>
      <c r="N70" s="72"/>
      <c r="O70" s="72">
        <v>135.42</v>
      </c>
      <c r="P70" s="72">
        <f t="shared" si="24"/>
        <v>1.3800000000000239</v>
      </c>
      <c r="Q70" s="75">
        <f t="shared" si="25"/>
        <v>1.01019051838724</v>
      </c>
      <c r="R70" s="72">
        <v>43</v>
      </c>
      <c r="S70" s="203">
        <f t="shared" si="5"/>
        <v>17.85</v>
      </c>
      <c r="T70" s="204">
        <f t="shared" si="26"/>
        <v>1.4151162790697676</v>
      </c>
      <c r="U70" s="73">
        <f>F70-квітень!F70</f>
        <v>11.399999999999999</v>
      </c>
      <c r="V70" s="98">
        <f>G70-квітень!G70</f>
        <v>13.160000000000004</v>
      </c>
      <c r="W70" s="74">
        <f t="shared" si="22"/>
        <v>1.7600000000000051</v>
      </c>
      <c r="X70" s="75">
        <f t="shared" si="27"/>
        <v>1.1543859649122812</v>
      </c>
      <c r="Y70" s="197">
        <f t="shared" si="15"/>
        <v>0.4049257606825276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19"/>
        <v>-1.5</v>
      </c>
      <c r="I71" s="213">
        <f t="shared" si="20"/>
        <v>0</v>
      </c>
      <c r="J71" s="115">
        <f t="shared" si="23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4"/>
        <v>0.96</v>
      </c>
      <c r="Q71" s="155">
        <f t="shared" si="25"/>
        <v>1.4705882352941175</v>
      </c>
      <c r="R71" s="115">
        <v>2.04</v>
      </c>
      <c r="S71" s="115">
        <f t="shared" si="5"/>
        <v>-2.04</v>
      </c>
      <c r="T71" s="155">
        <f t="shared" si="26"/>
        <v>0</v>
      </c>
      <c r="U71" s="107">
        <f>F71-квітень!F71</f>
        <v>0</v>
      </c>
      <c r="V71" s="110">
        <f>G71-квітень!G71</f>
        <v>0</v>
      </c>
      <c r="W71" s="111">
        <f t="shared" si="22"/>
        <v>0</v>
      </c>
      <c r="X71" s="155"/>
      <c r="Y71" s="197">
        <f t="shared" si="15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2800.45</v>
      </c>
      <c r="H72" s="102">
        <f t="shared" si="19"/>
        <v>-488.2000000000003</v>
      </c>
      <c r="I72" s="213">
        <f t="shared" si="20"/>
        <v>0.851550028127043</v>
      </c>
      <c r="J72" s="115">
        <f t="shared" si="23"/>
        <v>-5369.55</v>
      </c>
      <c r="K72" s="155">
        <f t="shared" si="21"/>
        <v>0.3427723378212974</v>
      </c>
      <c r="L72" s="115"/>
      <c r="M72" s="115"/>
      <c r="N72" s="115"/>
      <c r="O72" s="115">
        <v>8086.92</v>
      </c>
      <c r="P72" s="115">
        <f t="shared" si="24"/>
        <v>83.07999999999993</v>
      </c>
      <c r="Q72" s="155">
        <f t="shared" si="25"/>
        <v>1.0102733797292418</v>
      </c>
      <c r="R72" s="115">
        <v>4037.14</v>
      </c>
      <c r="S72" s="115">
        <f t="shared" si="5"/>
        <v>-1236.69</v>
      </c>
      <c r="T72" s="155">
        <f t="shared" si="26"/>
        <v>0.6936717577294818</v>
      </c>
      <c r="U72" s="107">
        <f>F72-квітень!F72</f>
        <v>680</v>
      </c>
      <c r="V72" s="110">
        <f>G72-квітень!G72</f>
        <v>766.4199999999998</v>
      </c>
      <c r="W72" s="111">
        <f t="shared" si="22"/>
        <v>86.41999999999985</v>
      </c>
      <c r="X72" s="155">
        <f t="shared" si="27"/>
        <v>1.1270882352941174</v>
      </c>
      <c r="Y72" s="197">
        <f t="shared" si="15"/>
        <v>-0.31660162199976005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19"/>
        <v>0</v>
      </c>
      <c r="I73" s="213" t="e">
        <f>G73/F73*100</f>
        <v>#DIV/0!</v>
      </c>
      <c r="J73" s="115">
        <f t="shared" si="23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6"/>
        <v>#DIV/0!</v>
      </c>
      <c r="U73" s="107">
        <f>F73-квітень!F73</f>
        <v>0</v>
      </c>
      <c r="V73" s="110">
        <f>G73-квітень!G73</f>
        <v>0</v>
      </c>
      <c r="W73" s="111">
        <f t="shared" si="22"/>
        <v>0</v>
      </c>
      <c r="X73" s="155" t="e">
        <f t="shared" si="27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6"/>
        <v>0</v>
      </c>
      <c r="U74" s="107">
        <f>F74-квітень!F74</f>
        <v>0</v>
      </c>
      <c r="V74" s="110">
        <f>G74-квітень!G74</f>
        <v>0</v>
      </c>
      <c r="W74" s="116">
        <f t="shared" si="22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19"/>
        <v>0</v>
      </c>
      <c r="I75" s="213" t="e">
        <f>G75/F75*100</f>
        <v>#DIV/0!</v>
      </c>
      <c r="J75" s="115">
        <f t="shared" si="23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6"/>
        <v>#DIV/0!</v>
      </c>
      <c r="U75" s="107">
        <f>F75-квітень!F75</f>
        <v>0</v>
      </c>
      <c r="V75" s="110">
        <f>G75-квітень!G75</f>
        <v>0</v>
      </c>
      <c r="W75" s="111">
        <f t="shared" si="22"/>
        <v>0</v>
      </c>
      <c r="X75" s="155" t="e">
        <f t="shared" si="27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19"/>
        <v>-20</v>
      </c>
      <c r="I76" s="213">
        <f>G76/F76</f>
        <v>0</v>
      </c>
      <c r="J76" s="115">
        <f t="shared" si="23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6"/>
        <v>0</v>
      </c>
      <c r="U76" s="107">
        <f>F76-квітень!F76</f>
        <v>0</v>
      </c>
      <c r="V76" s="110">
        <f>G76-квітень!G76</f>
        <v>0</v>
      </c>
      <c r="W76" s="111">
        <f t="shared" si="22"/>
        <v>0</v>
      </c>
      <c r="X76" s="155" t="e">
        <f t="shared" si="27"/>
        <v>#DIV/0!</v>
      </c>
      <c r="Y76" s="197">
        <f t="shared" si="15"/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 t="shared" si="19"/>
        <v>0.09</v>
      </c>
      <c r="I77" s="213"/>
      <c r="J77" s="115">
        <f t="shared" si="23"/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5.62</v>
      </c>
      <c r="H78" s="102">
        <f t="shared" si="19"/>
        <v>-9.75</v>
      </c>
      <c r="I78" s="213">
        <f>G78/F78</f>
        <v>0.36564736499674694</v>
      </c>
      <c r="J78" s="115">
        <f t="shared" si="23"/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 t="shared" si="5"/>
        <v>-16.73</v>
      </c>
      <c r="T78" s="155">
        <f t="shared" si="26"/>
        <v>0.25145413870246086</v>
      </c>
      <c r="U78" s="107">
        <f>F78-квітень!F77</f>
        <v>2.8999999999999986</v>
      </c>
      <c r="V78" s="110">
        <f>G78-квітень!G77</f>
        <v>0.8799999999999999</v>
      </c>
      <c r="W78" s="111">
        <f t="shared" si="22"/>
        <v>-2.0199999999999987</v>
      </c>
      <c r="X78" s="155">
        <f t="shared" si="27"/>
        <v>0.3034482758620691</v>
      </c>
      <c r="Y78" s="197">
        <f t="shared" si="15"/>
        <v>-0.7713395491993509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 t="shared" si="19"/>
        <v>0.67</v>
      </c>
      <c r="I79" s="213" t="e">
        <f>G79/F79</f>
        <v>#DIV/0!</v>
      </c>
      <c r="J79" s="115">
        <f t="shared" si="23"/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 t="shared" si="5"/>
        <v>5.92</v>
      </c>
      <c r="T79" s="155">
        <f t="shared" si="26"/>
        <v>-0.12761904761904763</v>
      </c>
      <c r="U79" s="107">
        <f>F79-квітень!F78</f>
        <v>0</v>
      </c>
      <c r="V79" s="110">
        <f>G79-квітень!G78</f>
        <v>0.17000000000000004</v>
      </c>
      <c r="W79" s="111">
        <f t="shared" si="22"/>
        <v>0.17000000000000004</v>
      </c>
      <c r="X79" s="155"/>
      <c r="Y79" s="197">
        <f t="shared" si="15"/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660575.12</v>
      </c>
      <c r="G80" s="103">
        <f>G8+G53+G78+G79</f>
        <v>673381.37</v>
      </c>
      <c r="H80" s="103">
        <f>G80-F80</f>
        <v>12806.25</v>
      </c>
      <c r="I80" s="210">
        <f>G80/F80</f>
        <v>1.0193865157985362</v>
      </c>
      <c r="J80" s="104">
        <f>G80-E80</f>
        <v>-980153.4299999998</v>
      </c>
      <c r="K80" s="156">
        <f>G80/E80</f>
        <v>0.4072374950923319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532468.19</v>
      </c>
      <c r="S80" s="104">
        <f>G80-R80</f>
        <v>140913.18000000005</v>
      </c>
      <c r="T80" s="156">
        <f>G80/R80</f>
        <v>1.2646414990536807</v>
      </c>
      <c r="U80" s="103">
        <f>U8+U53+U78+U79</f>
        <v>171348.75999999992</v>
      </c>
      <c r="V80" s="103">
        <f>V8+V53+V78+V79</f>
        <v>158537.95999999996</v>
      </c>
      <c r="W80" s="135">
        <f>V80-U80</f>
        <v>-12810.79999999996</v>
      </c>
      <c r="X80" s="156">
        <f>V80/U80</f>
        <v>0.9252355254861491</v>
      </c>
      <c r="Y80" s="197">
        <f t="shared" si="15"/>
        <v>0.08269797933955658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 t="shared" si="15"/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 t="shared" si="15"/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 t="shared" si="15"/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 t="shared" si="15"/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 t="shared" si="15"/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 aca="true" t="shared" si="28" ref="S87:S99">G87-R87</f>
        <v>0.01</v>
      </c>
      <c r="T87" s="151" t="e">
        <f aca="true" t="shared" si="29" ref="T87:T102">G87/R87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 t="shared" si="15"/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 aca="true" t="shared" si="30" ref="H88:H99">G88-F88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 aca="true" t="shared" si="31" ref="P88:P99">E88-O88</f>
        <v>-35.57</v>
      </c>
      <c r="Q88" s="151">
        <f aca="true" t="shared" si="32" ref="Q88:Q99">E88/O88</f>
        <v>0</v>
      </c>
      <c r="R88" s="131">
        <v>35.57</v>
      </c>
      <c r="S88" s="131">
        <f t="shared" si="28"/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 aca="true" t="shared" si="33" ref="W88:W99">V88-U88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1597</v>
      </c>
      <c r="H89" s="112">
        <f t="shared" si="30"/>
        <v>596.97</v>
      </c>
      <c r="I89" s="213">
        <f>G89/F89</f>
        <v>1.596952091437257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 t="shared" si="31"/>
        <v>7379.899</v>
      </c>
      <c r="Q89" s="147">
        <f t="shared" si="32"/>
        <v>8.866522054277613</v>
      </c>
      <c r="R89" s="117">
        <v>0.13</v>
      </c>
      <c r="S89" s="117">
        <f t="shared" si="28"/>
        <v>1596.87</v>
      </c>
      <c r="T89" s="147">
        <f t="shared" si="29"/>
        <v>12284.615384615385</v>
      </c>
      <c r="U89" s="112">
        <f>F89-квітень!F88</f>
        <v>193.601</v>
      </c>
      <c r="V89" s="118">
        <f>G89-квітень!G88</f>
        <v>26.1400000000001</v>
      </c>
      <c r="W89" s="117">
        <f t="shared" si="33"/>
        <v>-167.4609999999999</v>
      </c>
      <c r="X89" s="147">
        <f>V89/U89</f>
        <v>0.13501996373985722</v>
      </c>
      <c r="Y89" s="197">
        <f t="shared" si="15"/>
        <v>12275.748862561108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1626.2</v>
      </c>
      <c r="H90" s="112">
        <f t="shared" si="30"/>
        <v>-2388.8</v>
      </c>
      <c r="I90" s="213">
        <f>G90/F90</f>
        <v>0.40503113325031137</v>
      </c>
      <c r="J90" s="117">
        <f aca="true" t="shared" si="34" ref="J90:J99">G90-E90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 t="shared" si="31"/>
        <v>8305.35</v>
      </c>
      <c r="Q90" s="147">
        <f t="shared" si="32"/>
        <v>2.0198559613932328</v>
      </c>
      <c r="R90" s="117">
        <v>304.9</v>
      </c>
      <c r="S90" s="117">
        <f t="shared" si="28"/>
        <v>1321.3000000000002</v>
      </c>
      <c r="T90" s="147">
        <f t="shared" si="29"/>
        <v>5.333551984257134</v>
      </c>
      <c r="U90" s="112">
        <f>F90-квітень!F89</f>
        <v>1000</v>
      </c>
      <c r="V90" s="118">
        <f>G90-квітень!G89</f>
        <v>164.84000000000015</v>
      </c>
      <c r="W90" s="117">
        <f t="shared" si="33"/>
        <v>-835.1599999999999</v>
      </c>
      <c r="X90" s="147">
        <f>V90/U90</f>
        <v>0.16484000000000015</v>
      </c>
      <c r="Y90" s="197">
        <f t="shared" si="15"/>
        <v>3.3136960228639016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1812.53</v>
      </c>
      <c r="H91" s="112">
        <f t="shared" si="30"/>
        <v>-8187.47</v>
      </c>
      <c r="I91" s="213">
        <f>G91/F91</f>
        <v>0.181253</v>
      </c>
      <c r="J91" s="117">
        <f t="shared" si="34"/>
        <v>-20202.47</v>
      </c>
      <c r="K91" s="147">
        <f>G91/E91</f>
        <v>0.08233159209629798</v>
      </c>
      <c r="L91" s="117"/>
      <c r="M91" s="117"/>
      <c r="N91" s="117"/>
      <c r="O91" s="117">
        <v>17305.88</v>
      </c>
      <c r="P91" s="117">
        <f t="shared" si="31"/>
        <v>4709.119999999999</v>
      </c>
      <c r="Q91" s="147">
        <f t="shared" si="32"/>
        <v>1.2721109819321526</v>
      </c>
      <c r="R91" s="117">
        <v>4585.42</v>
      </c>
      <c r="S91" s="117">
        <f t="shared" si="28"/>
        <v>-2772.8900000000003</v>
      </c>
      <c r="T91" s="147">
        <f t="shared" si="29"/>
        <v>0.39528113019090944</v>
      </c>
      <c r="U91" s="112">
        <f>F91-квітень!F90</f>
        <v>2000</v>
      </c>
      <c r="V91" s="118">
        <f>G91-квітень!G90</f>
        <v>64.16000000000008</v>
      </c>
      <c r="W91" s="117">
        <f t="shared" si="33"/>
        <v>-1935.84</v>
      </c>
      <c r="X91" s="147">
        <f>V91/U91</f>
        <v>0.03208000000000004</v>
      </c>
      <c r="Y91" s="197">
        <f t="shared" si="15"/>
        <v>-0.8768298517412432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 t="shared" si="30"/>
        <v>-5</v>
      </c>
      <c r="I92" s="213">
        <f>G92/F92</f>
        <v>0.5</v>
      </c>
      <c r="J92" s="117">
        <f t="shared" si="34"/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 t="shared" si="31"/>
        <v>4</v>
      </c>
      <c r="Q92" s="147">
        <f t="shared" si="32"/>
        <v>1.2</v>
      </c>
      <c r="R92" s="117">
        <v>6</v>
      </c>
      <c r="S92" s="117">
        <f t="shared" si="28"/>
        <v>-1</v>
      </c>
      <c r="T92" s="147">
        <f t="shared" si="29"/>
        <v>0.8333333333333334</v>
      </c>
      <c r="U92" s="112">
        <f>F92-квітень!F91</f>
        <v>2</v>
      </c>
      <c r="V92" s="118">
        <f>G92-квітень!G91</f>
        <v>1</v>
      </c>
      <c r="W92" s="117">
        <f t="shared" si="33"/>
        <v>-1</v>
      </c>
      <c r="X92" s="147">
        <f>V92/U92</f>
        <v>0.5</v>
      </c>
      <c r="Y92" s="197">
        <f t="shared" si="15"/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5040.73</v>
      </c>
      <c r="H93" s="129">
        <f t="shared" si="30"/>
        <v>-9984.3</v>
      </c>
      <c r="I93" s="216">
        <f>G93/F93</f>
        <v>0.33548884760962205</v>
      </c>
      <c r="J93" s="131">
        <f t="shared" si="34"/>
        <v>-41765.30900000001</v>
      </c>
      <c r="K93" s="151">
        <f>G93/E93</f>
        <v>0.10769400931362723</v>
      </c>
      <c r="L93" s="131"/>
      <c r="M93" s="131"/>
      <c r="N93" s="131"/>
      <c r="O93" s="131">
        <v>26407.66</v>
      </c>
      <c r="P93" s="131">
        <f t="shared" si="31"/>
        <v>20398.379000000004</v>
      </c>
      <c r="Q93" s="151">
        <f t="shared" si="32"/>
        <v>1.772441746069133</v>
      </c>
      <c r="R93" s="131">
        <v>4896.44</v>
      </c>
      <c r="S93" s="117">
        <f t="shared" si="28"/>
        <v>144.28999999999996</v>
      </c>
      <c r="T93" s="147">
        <f t="shared" si="29"/>
        <v>1.029468348432739</v>
      </c>
      <c r="U93" s="129">
        <f>F93-квітень!F92</f>
        <v>3195.6009999999987</v>
      </c>
      <c r="V93" s="174">
        <f>G93-квітень!G92</f>
        <v>256.1399999999994</v>
      </c>
      <c r="W93" s="131">
        <f t="shared" si="33"/>
        <v>-2939.4609999999993</v>
      </c>
      <c r="X93" s="151">
        <f>V93/U93</f>
        <v>0.08015393661473992</v>
      </c>
      <c r="Y93" s="197">
        <f t="shared" si="15"/>
        <v>-0.7429733976363941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 t="shared" si="30"/>
        <v>-13.57</v>
      </c>
      <c r="I94" s="213"/>
      <c r="J94" s="117">
        <f t="shared" si="34"/>
        <v>-41.57</v>
      </c>
      <c r="K94" s="147"/>
      <c r="L94" s="117"/>
      <c r="M94" s="117"/>
      <c r="N94" s="117"/>
      <c r="O94" s="117">
        <v>49.17</v>
      </c>
      <c r="P94" s="117">
        <f t="shared" si="31"/>
        <v>-6.170000000000002</v>
      </c>
      <c r="Q94" s="147">
        <f t="shared" si="32"/>
        <v>0.8745169818995322</v>
      </c>
      <c r="R94" s="117">
        <v>34.1</v>
      </c>
      <c r="S94" s="117">
        <f t="shared" si="28"/>
        <v>-32.67</v>
      </c>
      <c r="T94" s="147">
        <f t="shared" si="29"/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 t="shared" si="33"/>
        <v>-3.87</v>
      </c>
      <c r="X94" s="147"/>
      <c r="Y94" s="197">
        <f t="shared" si="15"/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 t="shared" si="30"/>
        <v>0</v>
      </c>
      <c r="I95" s="213"/>
      <c r="J95" s="117">
        <f t="shared" si="34"/>
        <v>0</v>
      </c>
      <c r="K95" s="224"/>
      <c r="L95" s="134"/>
      <c r="M95" s="134"/>
      <c r="N95" s="134"/>
      <c r="O95" s="134"/>
      <c r="P95" s="117">
        <f t="shared" si="31"/>
        <v>0</v>
      </c>
      <c r="Q95" s="147" t="e">
        <f t="shared" si="32"/>
        <v>#DIV/0!</v>
      </c>
      <c r="R95" s="117">
        <f>O95</f>
        <v>0</v>
      </c>
      <c r="S95" s="117">
        <f t="shared" si="28"/>
        <v>0</v>
      </c>
      <c r="T95" s="147" t="e">
        <f t="shared" si="29"/>
        <v>#DIV/0!</v>
      </c>
      <c r="U95" s="112">
        <f>F95-квітень!F94</f>
        <v>0</v>
      </c>
      <c r="V95" s="118">
        <f>G95-квітень!G94</f>
        <v>0</v>
      </c>
      <c r="W95" s="117">
        <f t="shared" si="33"/>
        <v>0</v>
      </c>
      <c r="X95" s="224"/>
      <c r="Y95" s="197" t="e">
        <f t="shared" si="15"/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5288.72</v>
      </c>
      <c r="H96" s="112">
        <f t="shared" si="30"/>
        <v>-613.2299999999996</v>
      </c>
      <c r="I96" s="213">
        <f>G96/F96</f>
        <v>0.8960970526690332</v>
      </c>
      <c r="J96" s="117">
        <f t="shared" si="34"/>
        <v>-3761.2799999999997</v>
      </c>
      <c r="K96" s="147">
        <f>G96/E96</f>
        <v>0.5843889502762432</v>
      </c>
      <c r="L96" s="117"/>
      <c r="M96" s="117"/>
      <c r="N96" s="117"/>
      <c r="O96" s="117">
        <v>8033.94</v>
      </c>
      <c r="P96" s="117">
        <f t="shared" si="31"/>
        <v>1016.0600000000004</v>
      </c>
      <c r="Q96" s="147">
        <f t="shared" si="32"/>
        <v>1.1264709470073215</v>
      </c>
      <c r="R96" s="117">
        <v>5103.22</v>
      </c>
      <c r="S96" s="117">
        <f t="shared" si="28"/>
        <v>185.5</v>
      </c>
      <c r="T96" s="147">
        <f t="shared" si="29"/>
        <v>1.0363495988807068</v>
      </c>
      <c r="U96" s="112">
        <f>F96-квітень!F95</f>
        <v>3068.5</v>
      </c>
      <c r="V96" s="118">
        <f>G96-квітень!G95</f>
        <v>2685.0200000000004</v>
      </c>
      <c r="W96" s="117">
        <f t="shared" si="33"/>
        <v>-383.47999999999956</v>
      </c>
      <c r="X96" s="147">
        <f>V96/U96</f>
        <v>0.8750268861007008</v>
      </c>
      <c r="Y96" s="197">
        <f t="shared" si="15"/>
        <v>-0.09012134812661476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 t="shared" si="30"/>
        <v>0</v>
      </c>
      <c r="I97" s="213"/>
      <c r="J97" s="117">
        <f t="shared" si="34"/>
        <v>0</v>
      </c>
      <c r="K97" s="147"/>
      <c r="L97" s="117"/>
      <c r="M97" s="117"/>
      <c r="N97" s="117"/>
      <c r="O97" s="117">
        <v>0.1</v>
      </c>
      <c r="P97" s="117">
        <f t="shared" si="31"/>
        <v>-0.1</v>
      </c>
      <c r="Q97" s="147">
        <f t="shared" si="32"/>
        <v>0</v>
      </c>
      <c r="R97" s="117">
        <v>0</v>
      </c>
      <c r="S97" s="117">
        <f t="shared" si="28"/>
        <v>0</v>
      </c>
      <c r="T97" s="147" t="e">
        <f t="shared" si="29"/>
        <v>#DIV/0!</v>
      </c>
      <c r="U97" s="112">
        <f>F97-січень!F96</f>
        <v>0</v>
      </c>
      <c r="V97" s="118">
        <f>G97-березень!G96</f>
        <v>0</v>
      </c>
      <c r="W97" s="117">
        <f t="shared" si="33"/>
        <v>0</v>
      </c>
      <c r="X97" s="224"/>
      <c r="Y97" s="197" t="e">
        <f t="shared" si="15"/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5290.150000000001</v>
      </c>
      <c r="H98" s="129">
        <f t="shared" si="30"/>
        <v>-626.7999999999993</v>
      </c>
      <c r="I98" s="216">
        <f>G98/F98</f>
        <v>0.8940670446767339</v>
      </c>
      <c r="J98" s="131">
        <f t="shared" si="34"/>
        <v>-3802.8499999999995</v>
      </c>
      <c r="K98" s="151">
        <f>G98/E98</f>
        <v>0.5817826899813043</v>
      </c>
      <c r="L98" s="131"/>
      <c r="M98" s="131"/>
      <c r="N98" s="131"/>
      <c r="O98" s="131">
        <v>8083.21</v>
      </c>
      <c r="P98" s="131">
        <f t="shared" si="31"/>
        <v>1009.79</v>
      </c>
      <c r="Q98" s="151">
        <f t="shared" si="32"/>
        <v>1.1249243802895137</v>
      </c>
      <c r="R98" s="131">
        <v>5137.37</v>
      </c>
      <c r="S98" s="117">
        <f t="shared" si="28"/>
        <v>152.78000000000065</v>
      </c>
      <c r="T98" s="147">
        <f t="shared" si="29"/>
        <v>1.0297389520318763</v>
      </c>
      <c r="U98" s="129">
        <f>F98-квітень!F97</f>
        <v>3072.5</v>
      </c>
      <c r="V98" s="174">
        <f>G98-квітень!G97</f>
        <v>2685.1500000000005</v>
      </c>
      <c r="W98" s="131">
        <f t="shared" si="33"/>
        <v>-387.34999999999945</v>
      </c>
      <c r="X98" s="151">
        <f>V98/U98</f>
        <v>0.8739300244100897</v>
      </c>
      <c r="Y98" s="197">
        <f t="shared" si="15"/>
        <v>-0.09518542825763743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18.69</v>
      </c>
      <c r="H99" s="112">
        <f t="shared" si="30"/>
        <v>2.9400000000000013</v>
      </c>
      <c r="I99" s="213">
        <f>G99/F99</f>
        <v>1.1866666666666668</v>
      </c>
      <c r="J99" s="117">
        <f t="shared" si="34"/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 t="shared" si="31"/>
        <v>9.452999999999996</v>
      </c>
      <c r="Q99" s="147">
        <f t="shared" si="32"/>
        <v>1.2490252897787144</v>
      </c>
      <c r="R99" s="131">
        <v>7.74</v>
      </c>
      <c r="S99" s="117">
        <f t="shared" si="28"/>
        <v>10.950000000000001</v>
      </c>
      <c r="T99" s="147">
        <f t="shared" si="29"/>
        <v>2.414728682170543</v>
      </c>
      <c r="U99" s="112">
        <f>F99-квітень!F98</f>
        <v>1.7599999999999998</v>
      </c>
      <c r="V99" s="118">
        <f>G99-квітень!G98</f>
        <v>2.710000000000001</v>
      </c>
      <c r="W99" s="117">
        <f t="shared" si="33"/>
        <v>0.9500000000000011</v>
      </c>
      <c r="X99" s="147">
        <f>V99/U99</f>
        <v>1.539772727272728</v>
      </c>
      <c r="Y99" s="197">
        <f t="shared" si="15"/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 t="shared" si="29"/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 t="shared" si="15"/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10359.01</v>
      </c>
      <c r="H101" s="184">
        <f>G101-F101</f>
        <v>-10598.72</v>
      </c>
      <c r="I101" s="217">
        <f>G101/F101</f>
        <v>0.49428110773447315</v>
      </c>
      <c r="J101" s="177">
        <f>G101-E101</f>
        <v>-45587.442</v>
      </c>
      <c r="K101" s="178">
        <f>G101/E101</f>
        <v>0.1851593734666141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284.52000000000044</v>
      </c>
      <c r="T101" s="178">
        <f t="shared" si="29"/>
        <v>1.0282416281121922</v>
      </c>
      <c r="U101" s="183">
        <f>U87+U88+U93+U98+U99</f>
        <v>6269.860999999999</v>
      </c>
      <c r="V101" s="183">
        <f>V87+V88+V93+V98+V99</f>
        <v>2944</v>
      </c>
      <c r="W101" s="177">
        <f>V101-U101</f>
        <v>-3325.860999999999</v>
      </c>
      <c r="X101" s="178">
        <f>V101/U101</f>
        <v>0.46954788949866677</v>
      </c>
      <c r="Y101" s="197">
        <f>T101-Q101</f>
        <v>-0.5904964168432603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681532.85</v>
      </c>
      <c r="G102" s="183">
        <f>G80+G101</f>
        <v>683740.38</v>
      </c>
      <c r="H102" s="184">
        <f>G102-F102</f>
        <v>2207.530000000028</v>
      </c>
      <c r="I102" s="217">
        <f>G102/F102</f>
        <v>1.0032390661726724</v>
      </c>
      <c r="J102" s="177">
        <f>G102-E102</f>
        <v>-1025740.8719999999</v>
      </c>
      <c r="K102" s="178">
        <f>G102/E102</f>
        <v>0.3999695107507386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542542.6799999999</v>
      </c>
      <c r="S102" s="177">
        <f>S80+S101</f>
        <v>141197.70000000004</v>
      </c>
      <c r="T102" s="178">
        <f t="shared" si="29"/>
        <v>1.2602517833251388</v>
      </c>
      <c r="U102" s="184">
        <f>U80+U101</f>
        <v>177618.62099999993</v>
      </c>
      <c r="V102" s="184">
        <f>V80+V101</f>
        <v>161481.95999999996</v>
      </c>
      <c r="W102" s="177">
        <f>V102-U102</f>
        <v>-16136.660999999964</v>
      </c>
      <c r="X102" s="178">
        <f>V102/U102</f>
        <v>0.9091499477411213</v>
      </c>
      <c r="Y102" s="197">
        <f>T102-Q102</f>
        <v>0.06777754947417058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 t="e">
        <f>IF(W80&lt;0,ABS(W80/C104),0)</f>
        <v>#DIV/0!</v>
      </c>
    </row>
    <row r="106" spans="2:7" ht="30.75">
      <c r="B106" s="270" t="s">
        <v>163</v>
      </c>
      <c r="C106" s="271">
        <v>43251</v>
      </c>
      <c r="D106" s="267"/>
      <c r="E106" s="267">
        <v>12815.7</v>
      </c>
      <c r="F106" s="78"/>
      <c r="G106" s="4" t="s">
        <v>164</v>
      </c>
    </row>
    <row r="107" spans="3:10" ht="15">
      <c r="C107" s="271">
        <v>43250</v>
      </c>
      <c r="D107" s="267"/>
      <c r="E107" s="267">
        <v>16959.9</v>
      </c>
      <c r="F107" s="78"/>
      <c r="G107" s="469"/>
      <c r="H107" s="469"/>
      <c r="I107" s="273"/>
      <c r="J107" s="274"/>
    </row>
    <row r="108" spans="3:10" ht="15">
      <c r="C108" s="271">
        <v>43249</v>
      </c>
      <c r="D108" s="267"/>
      <c r="E108" s="267">
        <v>15541.8</v>
      </c>
      <c r="F108" s="78"/>
      <c r="G108" s="469"/>
      <c r="H108" s="469"/>
      <c r="I108" s="273"/>
      <c r="J108" s="276"/>
    </row>
    <row r="109" spans="3:10" ht="15">
      <c r="C109" s="271"/>
      <c r="D109" s="4"/>
      <c r="F109" s="278"/>
      <c r="G109" s="470"/>
      <c r="H109" s="470"/>
      <c r="I109" s="279"/>
      <c r="J109" s="274"/>
    </row>
    <row r="110" spans="2:10" ht="16.5">
      <c r="B110" s="471" t="s">
        <v>165</v>
      </c>
      <c r="C110" s="472"/>
      <c r="D110" s="280"/>
      <c r="E110" s="434">
        <f>143460/1000</f>
        <v>143.46</v>
      </c>
      <c r="F110" s="282" t="s">
        <v>166</v>
      </c>
      <c r="G110" s="469"/>
      <c r="H110" s="469"/>
      <c r="I110" s="283"/>
      <c r="J110" s="274"/>
    </row>
    <row r="111" spans="4:10" ht="15">
      <c r="D111" s="4"/>
      <c r="F111" s="278"/>
      <c r="G111" s="469"/>
      <c r="H111" s="469"/>
      <c r="I111" s="278"/>
      <c r="J111" s="281"/>
    </row>
    <row r="112" spans="2:10" ht="15" customHeight="1">
      <c r="B112" s="468"/>
      <c r="C112" s="468"/>
      <c r="D112" s="285"/>
      <c r="E112" s="286"/>
      <c r="F112" s="278"/>
      <c r="G112" s="469"/>
      <c r="H112" s="469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 aca="true" t="shared" si="35" ref="E113:W113">E60+E63+E64</f>
        <v>2095</v>
      </c>
      <c r="F113" s="278">
        <f t="shared" si="35"/>
        <v>827</v>
      </c>
      <c r="G113" s="435">
        <f t="shared" si="35"/>
        <v>835.0200000000001</v>
      </c>
      <c r="H113" s="278">
        <f t="shared" si="35"/>
        <v>8.019999999999989</v>
      </c>
      <c r="I113" s="436">
        <f>G113/F113</f>
        <v>1.0096977025392988</v>
      </c>
      <c r="J113" s="278">
        <f t="shared" si="35"/>
        <v>-1259.98</v>
      </c>
      <c r="K113" s="436">
        <f>G113/E113</f>
        <v>0.3985775656324583</v>
      </c>
      <c r="L113" s="278">
        <f t="shared" si="35"/>
        <v>0</v>
      </c>
      <c r="M113" s="278">
        <f t="shared" si="35"/>
        <v>0</v>
      </c>
      <c r="N113" s="278">
        <f t="shared" si="35"/>
        <v>0</v>
      </c>
      <c r="O113" s="278">
        <f t="shared" si="35"/>
        <v>1956.6200000000001</v>
      </c>
      <c r="P113" s="278">
        <f t="shared" si="35"/>
        <v>138.37999999999994</v>
      </c>
      <c r="Q113" s="436">
        <f>E113/O113</f>
        <v>1.0707240036389283</v>
      </c>
      <c r="R113" s="278">
        <f t="shared" si="35"/>
        <v>733.8000000000001</v>
      </c>
      <c r="S113" s="278">
        <f t="shared" si="35"/>
        <v>101.22</v>
      </c>
      <c r="T113" s="436">
        <f>G113/R113</f>
        <v>1.1379394930498774</v>
      </c>
      <c r="U113" s="278">
        <f t="shared" si="35"/>
        <v>182</v>
      </c>
      <c r="V113" s="288">
        <f t="shared" si="35"/>
        <v>172.71999999999997</v>
      </c>
      <c r="W113" s="278">
        <f t="shared" si="35"/>
        <v>-9.28000000000002</v>
      </c>
      <c r="X113" s="436">
        <f>V113/U113</f>
        <v>0.9490109890109889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645797.7699999999</v>
      </c>
      <c r="G115" s="289">
        <f>G9+G15+G18+G19+G23+G54+G57+G59+G71+G78+G94+G96</f>
        <v>657381.12</v>
      </c>
      <c r="H115" s="267">
        <f>H9+H15+H18+H19+H23+H54+H57+H59+H71+H78+H94+H96</f>
        <v>11583.350000000017</v>
      </c>
      <c r="I115" s="163">
        <f>G115/F115</f>
        <v>1.017936497365112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25244.940000000002</v>
      </c>
      <c r="G116" s="289">
        <f>G55+G58+G60+G63+G64+G65+G72+G76+G89+G90+G91+G92+G99</f>
        <v>15445.43</v>
      </c>
      <c r="H116" s="267">
        <f>H55+H58+H60+H63+H64+H65+H72+H76+H89+H90+H91+H92+H99</f>
        <v>-9799.51</v>
      </c>
      <c r="I116" s="163">
        <f>G116/F116</f>
        <v>0.6118228048868406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10490.14</v>
      </c>
      <c r="G117" s="289">
        <f>G56+G62+G66+G79</f>
        <v>10904.3</v>
      </c>
      <c r="H117" s="267">
        <f>H56+H62+H66+H79</f>
        <v>414.15999999999923</v>
      </c>
      <c r="I117" s="163">
        <f>G117/F117</f>
        <v>1.0394808839538843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681532.85</v>
      </c>
      <c r="G118" s="440">
        <f>G115+G116+G117</f>
        <v>683730.8500000001</v>
      </c>
      <c r="H118" s="439">
        <f>H115+H116+H117</f>
        <v>2198.000000000016</v>
      </c>
      <c r="I118" s="441">
        <f>G118/F118</f>
        <v>1.0032250829875626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-9.530000000012024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 aca="true" t="shared" si="36" ref="I124:I131">G124/F124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 aca="true" t="shared" si="37" ref="E125:J125">E124+E101</f>
        <v>74048.512</v>
      </c>
      <c r="F125" s="295">
        <f t="shared" si="37"/>
        <v>41212.05</v>
      </c>
      <c r="G125" s="295">
        <f t="shared" si="37"/>
        <v>12511.269999999999</v>
      </c>
      <c r="H125" s="295">
        <f t="shared" si="37"/>
        <v>-28700.78</v>
      </c>
      <c r="I125" s="447">
        <f t="shared" si="36"/>
        <v>0.303582811337946</v>
      </c>
      <c r="J125" s="295">
        <f t="shared" si="37"/>
        <v>-61537.242000000006</v>
      </c>
      <c r="K125" s="447">
        <f>G125/F125</f>
        <v>0.303582811337946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 aca="true" t="shared" si="38" ref="E126:J126">E102+E124</f>
        <v>1727583.312</v>
      </c>
      <c r="F126" s="295">
        <f t="shared" si="38"/>
        <v>701787.1699999999</v>
      </c>
      <c r="G126" s="295">
        <f t="shared" si="38"/>
        <v>685892.64</v>
      </c>
      <c r="H126" s="295">
        <f t="shared" si="38"/>
        <v>-15894.529999999973</v>
      </c>
      <c r="I126" s="447">
        <f t="shared" si="36"/>
        <v>0.977351352832512</v>
      </c>
      <c r="J126" s="295">
        <f t="shared" si="38"/>
        <v>-1041690.6719999999</v>
      </c>
      <c r="K126" s="447">
        <f>G126/F126</f>
        <v>0.977351352832512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 t="shared" si="36"/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 t="shared" si="36"/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 t="shared" si="36"/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 t="shared" si="36"/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 aca="true" t="shared" si="39" ref="E131:J131">E126+E127+E130</f>
        <v>3227258.512</v>
      </c>
      <c r="F131" s="314">
        <f t="shared" si="39"/>
        <v>1023873.8999999999</v>
      </c>
      <c r="G131" s="314">
        <f t="shared" si="39"/>
        <v>685892.64</v>
      </c>
      <c r="H131" s="314">
        <f t="shared" si="39"/>
        <v>-337981.25999999995</v>
      </c>
      <c r="I131" s="449">
        <f t="shared" si="36"/>
        <v>0.6698995257130786</v>
      </c>
      <c r="J131" s="314">
        <f t="shared" si="39"/>
        <v>-2541365.872</v>
      </c>
      <c r="K131" s="449">
        <f>G131/E131</f>
        <v>0.2125310499452174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 aca="true" t="shared" si="40" ref="D139:X139">D17</f>
        <v>0</v>
      </c>
      <c r="E139" s="323">
        <f t="shared" si="40"/>
        <v>0</v>
      </c>
      <c r="F139" s="323">
        <f t="shared" si="40"/>
        <v>0</v>
      </c>
      <c r="G139" s="323">
        <f t="shared" si="40"/>
        <v>0</v>
      </c>
      <c r="H139" s="323">
        <f t="shared" si="40"/>
        <v>0</v>
      </c>
      <c r="I139" s="357">
        <f t="shared" si="40"/>
        <v>0</v>
      </c>
      <c r="J139" s="323">
        <f t="shared" si="40"/>
        <v>0</v>
      </c>
      <c r="K139" s="357">
        <f t="shared" si="40"/>
        <v>0</v>
      </c>
      <c r="L139" s="323">
        <f t="shared" si="40"/>
        <v>0</v>
      </c>
      <c r="M139" s="323">
        <f t="shared" si="40"/>
        <v>0</v>
      </c>
      <c r="N139" s="323">
        <f t="shared" si="40"/>
        <v>0</v>
      </c>
      <c r="O139" s="323">
        <f t="shared" si="40"/>
        <v>0.49</v>
      </c>
      <c r="P139" s="323">
        <f t="shared" si="40"/>
        <v>-0.49</v>
      </c>
      <c r="Q139" s="357">
        <f t="shared" si="40"/>
        <v>0</v>
      </c>
      <c r="R139" s="323">
        <f t="shared" si="40"/>
        <v>0</v>
      </c>
      <c r="S139" s="323">
        <f t="shared" si="40"/>
        <v>0</v>
      </c>
      <c r="T139" s="357" t="e">
        <f t="shared" si="40"/>
        <v>#DIV/0!</v>
      </c>
      <c r="U139" s="323">
        <f t="shared" si="40"/>
        <v>0</v>
      </c>
      <c r="V139" s="323">
        <f t="shared" si="40"/>
        <v>0</v>
      </c>
      <c r="W139" s="323">
        <f t="shared" si="40"/>
        <v>0</v>
      </c>
      <c r="X139" s="357">
        <f t="shared" si="40"/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 aca="true" t="shared" si="41" ref="D140:X140">D18</f>
        <v>235.6</v>
      </c>
      <c r="E140" s="323">
        <f t="shared" si="41"/>
        <v>235.6</v>
      </c>
      <c r="F140" s="323">
        <f t="shared" si="41"/>
        <v>140.5</v>
      </c>
      <c r="G140" s="323">
        <f t="shared" si="41"/>
        <v>194.24</v>
      </c>
      <c r="H140" s="323">
        <f t="shared" si="41"/>
        <v>53.74000000000001</v>
      </c>
      <c r="I140" s="357">
        <f t="shared" si="41"/>
        <v>1.382491103202847</v>
      </c>
      <c r="J140" s="323">
        <f t="shared" si="41"/>
        <v>-41.359999999999985</v>
      </c>
      <c r="K140" s="357">
        <f t="shared" si="41"/>
        <v>82.44482173174873</v>
      </c>
      <c r="L140" s="323">
        <f t="shared" si="41"/>
        <v>0</v>
      </c>
      <c r="M140" s="323">
        <f t="shared" si="41"/>
        <v>0</v>
      </c>
      <c r="N140" s="323">
        <f t="shared" si="41"/>
        <v>0</v>
      </c>
      <c r="O140" s="323">
        <f t="shared" si="41"/>
        <v>220.59</v>
      </c>
      <c r="P140" s="323">
        <f t="shared" si="41"/>
        <v>15.009999999999991</v>
      </c>
      <c r="Q140" s="357">
        <f t="shared" si="41"/>
        <v>1.0680447889750215</v>
      </c>
      <c r="R140" s="323">
        <f t="shared" si="41"/>
        <v>118.46</v>
      </c>
      <c r="S140" s="323">
        <f t="shared" si="41"/>
        <v>75.78000000000002</v>
      </c>
      <c r="T140" s="357">
        <f t="shared" si="41"/>
        <v>1.639709606618268</v>
      </c>
      <c r="U140" s="323">
        <f t="shared" si="41"/>
        <v>20.5</v>
      </c>
      <c r="V140" s="323">
        <f t="shared" si="41"/>
        <v>0</v>
      </c>
      <c r="W140" s="323">
        <f t="shared" si="41"/>
        <v>-20.5</v>
      </c>
      <c r="X140" s="357">
        <f t="shared" si="41"/>
        <v>0</v>
      </c>
      <c r="Y140" s="446">
        <f aca="true" t="shared" si="42" ref="Y140:Y162">T140-Q140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 aca="true" t="shared" si="43" ref="D141:X141">D56</f>
        <v>158</v>
      </c>
      <c r="E141" s="333">
        <f t="shared" si="43"/>
        <v>158</v>
      </c>
      <c r="F141" s="333">
        <f t="shared" si="43"/>
        <v>56</v>
      </c>
      <c r="G141" s="333">
        <f t="shared" si="43"/>
        <v>51.82</v>
      </c>
      <c r="H141" s="333">
        <f t="shared" si="43"/>
        <v>-4.18</v>
      </c>
      <c r="I141" s="442">
        <f t="shared" si="43"/>
        <v>0.9253571428571429</v>
      </c>
      <c r="J141" s="333">
        <f t="shared" si="43"/>
        <v>-106.18</v>
      </c>
      <c r="K141" s="442">
        <f t="shared" si="43"/>
        <v>0.3279746835443038</v>
      </c>
      <c r="L141" s="333">
        <f t="shared" si="43"/>
        <v>0</v>
      </c>
      <c r="M141" s="333">
        <f t="shared" si="43"/>
        <v>0</v>
      </c>
      <c r="N141" s="333">
        <f t="shared" si="43"/>
        <v>0</v>
      </c>
      <c r="O141" s="333">
        <f t="shared" si="43"/>
        <v>153.3</v>
      </c>
      <c r="P141" s="333">
        <f t="shared" si="43"/>
        <v>4.699999999999989</v>
      </c>
      <c r="Q141" s="442">
        <f t="shared" si="43"/>
        <v>1.030658838878017</v>
      </c>
      <c r="R141" s="333">
        <f t="shared" si="43"/>
        <v>92.8</v>
      </c>
      <c r="S141" s="333">
        <f t="shared" si="43"/>
        <v>-40.98</v>
      </c>
      <c r="T141" s="442">
        <f t="shared" si="43"/>
        <v>0.5584051724137932</v>
      </c>
      <c r="U141" s="333">
        <f t="shared" si="43"/>
        <v>14</v>
      </c>
      <c r="V141" s="333">
        <f t="shared" si="43"/>
        <v>0</v>
      </c>
      <c r="W141" s="333">
        <f t="shared" si="43"/>
        <v>-14</v>
      </c>
      <c r="X141" s="357">
        <f t="shared" si="43"/>
        <v>0</v>
      </c>
      <c r="Y141" s="446">
        <f t="shared" si="42"/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 aca="true" t="shared" si="44" ref="D142:X142">D57</f>
        <v>13</v>
      </c>
      <c r="E142" s="338">
        <f t="shared" si="44"/>
        <v>13</v>
      </c>
      <c r="F142" s="338">
        <f t="shared" si="44"/>
        <v>6</v>
      </c>
      <c r="G142" s="338">
        <f t="shared" si="44"/>
        <v>2.02</v>
      </c>
      <c r="H142" s="338">
        <f t="shared" si="44"/>
        <v>-3.98</v>
      </c>
      <c r="I142" s="443">
        <f t="shared" si="44"/>
        <v>0.33666666666666667</v>
      </c>
      <c r="J142" s="338">
        <f t="shared" si="44"/>
        <v>-10.98</v>
      </c>
      <c r="K142" s="443">
        <f t="shared" si="44"/>
        <v>0.1553846153846154</v>
      </c>
      <c r="L142" s="338">
        <f t="shared" si="44"/>
        <v>0</v>
      </c>
      <c r="M142" s="338">
        <f t="shared" si="44"/>
        <v>0</v>
      </c>
      <c r="N142" s="338">
        <f t="shared" si="44"/>
        <v>0</v>
      </c>
      <c r="O142" s="338">
        <f t="shared" si="44"/>
        <v>12.95</v>
      </c>
      <c r="P142" s="338">
        <f t="shared" si="44"/>
        <v>0.05000000000000071</v>
      </c>
      <c r="Q142" s="443">
        <f t="shared" si="44"/>
        <v>1.0038610038610039</v>
      </c>
      <c r="R142" s="338">
        <f t="shared" si="44"/>
        <v>2.03</v>
      </c>
      <c r="S142" s="338">
        <f t="shared" si="44"/>
        <v>-0.009999999999999787</v>
      </c>
      <c r="T142" s="443">
        <f t="shared" si="44"/>
        <v>0</v>
      </c>
      <c r="U142" s="338">
        <f t="shared" si="44"/>
        <v>1</v>
      </c>
      <c r="V142" s="338">
        <f t="shared" si="44"/>
        <v>0</v>
      </c>
      <c r="W142" s="338">
        <f t="shared" si="44"/>
        <v>-1</v>
      </c>
      <c r="X142" s="445">
        <f t="shared" si="44"/>
        <v>0</v>
      </c>
      <c r="Y142" s="446">
        <f t="shared" si="42"/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 aca="true" t="shared" si="45" ref="D143:X143">D58</f>
        <v>744</v>
      </c>
      <c r="E143" s="323">
        <f t="shared" si="45"/>
        <v>744</v>
      </c>
      <c r="F143" s="323">
        <f t="shared" si="45"/>
        <v>268.43</v>
      </c>
      <c r="G143" s="323">
        <f t="shared" si="45"/>
        <v>544.78</v>
      </c>
      <c r="H143" s="323">
        <f t="shared" si="45"/>
        <v>276.34999999999997</v>
      </c>
      <c r="I143" s="357">
        <f t="shared" si="45"/>
        <v>2.0295048988563127</v>
      </c>
      <c r="J143" s="323">
        <f t="shared" si="45"/>
        <v>-199.22000000000003</v>
      </c>
      <c r="K143" s="357">
        <f t="shared" si="45"/>
        <v>0.7322311827956989</v>
      </c>
      <c r="L143" s="323">
        <f t="shared" si="45"/>
        <v>0</v>
      </c>
      <c r="M143" s="323">
        <f t="shared" si="45"/>
        <v>0</v>
      </c>
      <c r="N143" s="323">
        <f t="shared" si="45"/>
        <v>0</v>
      </c>
      <c r="O143" s="323">
        <f t="shared" si="45"/>
        <v>705.31</v>
      </c>
      <c r="P143" s="323">
        <f t="shared" si="45"/>
        <v>38.690000000000055</v>
      </c>
      <c r="Q143" s="357">
        <f t="shared" si="45"/>
        <v>1.0548553118486907</v>
      </c>
      <c r="R143" s="323">
        <f t="shared" si="45"/>
        <v>442.26</v>
      </c>
      <c r="S143" s="323">
        <f t="shared" si="45"/>
        <v>102.51999999999998</v>
      </c>
      <c r="T143" s="357">
        <f t="shared" si="45"/>
        <v>1.231809342920454</v>
      </c>
      <c r="U143" s="323">
        <f t="shared" si="45"/>
        <v>60</v>
      </c>
      <c r="V143" s="323">
        <f t="shared" si="45"/>
        <v>299</v>
      </c>
      <c r="W143" s="323">
        <f t="shared" si="45"/>
        <v>239</v>
      </c>
      <c r="X143" s="357">
        <f t="shared" si="45"/>
        <v>4.983333333333333</v>
      </c>
      <c r="Y143" s="446">
        <f t="shared" si="42"/>
        <v>0.17695403107176322</v>
      </c>
      <c r="Z143" s="163"/>
    </row>
    <row r="144" spans="2:26" ht="46.5" hidden="1">
      <c r="B144" s="329" t="s">
        <v>67</v>
      </c>
      <c r="C144" s="322">
        <v>21081500</v>
      </c>
      <c r="D144" s="323">
        <f aca="true" t="shared" si="46" ref="D144:X144">D59</f>
        <v>115.5</v>
      </c>
      <c r="E144" s="323">
        <f t="shared" si="46"/>
        <v>115.5</v>
      </c>
      <c r="F144" s="323">
        <f t="shared" si="46"/>
        <v>40</v>
      </c>
      <c r="G144" s="323">
        <f t="shared" si="46"/>
        <v>48.18</v>
      </c>
      <c r="H144" s="323">
        <f t="shared" si="46"/>
        <v>8.18</v>
      </c>
      <c r="I144" s="357">
        <f t="shared" si="46"/>
        <v>1.2045</v>
      </c>
      <c r="J144" s="323">
        <f t="shared" si="46"/>
        <v>-67.32</v>
      </c>
      <c r="K144" s="357">
        <f t="shared" si="46"/>
        <v>0.41714285714285715</v>
      </c>
      <c r="L144" s="323">
        <f t="shared" si="46"/>
        <v>0</v>
      </c>
      <c r="M144" s="323">
        <f t="shared" si="46"/>
        <v>0</v>
      </c>
      <c r="N144" s="323">
        <f t="shared" si="46"/>
        <v>0</v>
      </c>
      <c r="O144" s="323">
        <f t="shared" si="46"/>
        <v>114.3</v>
      </c>
      <c r="P144" s="323">
        <f t="shared" si="46"/>
        <v>1.2000000000000028</v>
      </c>
      <c r="Q144" s="357">
        <f t="shared" si="46"/>
        <v>1.010498687664042</v>
      </c>
      <c r="R144" s="323">
        <f t="shared" si="46"/>
        <v>1.01</v>
      </c>
      <c r="S144" s="323">
        <f t="shared" si="46"/>
        <v>47.17</v>
      </c>
      <c r="T144" s="357">
        <f t="shared" si="46"/>
        <v>47.7029702970297</v>
      </c>
      <c r="U144" s="323">
        <f t="shared" si="46"/>
        <v>10</v>
      </c>
      <c r="V144" s="323">
        <f t="shared" si="46"/>
        <v>8.96</v>
      </c>
      <c r="W144" s="323">
        <f t="shared" si="46"/>
        <v>-1.0399999999999991</v>
      </c>
      <c r="X144" s="357">
        <f t="shared" si="46"/>
        <v>0.8960000000000001</v>
      </c>
      <c r="Y144" s="446">
        <f t="shared" si="42"/>
        <v>46.69247160936566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 aca="true" t="shared" si="47" ref="E145:X145">E71</f>
        <v>3</v>
      </c>
      <c r="F145" s="323">
        <f t="shared" si="47"/>
        <v>1.5</v>
      </c>
      <c r="G145" s="323">
        <f t="shared" si="47"/>
        <v>0</v>
      </c>
      <c r="H145" s="323">
        <f t="shared" si="47"/>
        <v>-1.5</v>
      </c>
      <c r="I145" s="357">
        <f t="shared" si="47"/>
        <v>0</v>
      </c>
      <c r="J145" s="323">
        <f t="shared" si="47"/>
        <v>-3</v>
      </c>
      <c r="K145" s="357">
        <f t="shared" si="47"/>
        <v>0</v>
      </c>
      <c r="L145" s="323">
        <f t="shared" si="47"/>
        <v>0</v>
      </c>
      <c r="M145" s="323">
        <f t="shared" si="47"/>
        <v>0</v>
      </c>
      <c r="N145" s="323">
        <f t="shared" si="47"/>
        <v>0</v>
      </c>
      <c r="O145" s="323">
        <f t="shared" si="47"/>
        <v>2.04</v>
      </c>
      <c r="P145" s="323">
        <f t="shared" si="47"/>
        <v>0.96</v>
      </c>
      <c r="Q145" s="357">
        <f t="shared" si="47"/>
        <v>1.4705882352941175</v>
      </c>
      <c r="R145" s="323">
        <f t="shared" si="47"/>
        <v>2.04</v>
      </c>
      <c r="S145" s="323">
        <f t="shared" si="47"/>
        <v>-2.04</v>
      </c>
      <c r="T145" s="357">
        <f t="shared" si="47"/>
        <v>0</v>
      </c>
      <c r="U145" s="323">
        <f t="shared" si="47"/>
        <v>0</v>
      </c>
      <c r="V145" s="323">
        <f t="shared" si="47"/>
        <v>0</v>
      </c>
      <c r="W145" s="323">
        <f t="shared" si="47"/>
        <v>0</v>
      </c>
      <c r="X145" s="357">
        <f t="shared" si="47"/>
        <v>0</v>
      </c>
      <c r="Y145" s="446">
        <f t="shared" si="42"/>
        <v>-1.4705882352941175</v>
      </c>
      <c r="Z145" s="163"/>
    </row>
    <row r="146" spans="2:26" ht="30.75" hidden="1">
      <c r="B146" s="344" t="s">
        <v>39</v>
      </c>
      <c r="C146" s="322">
        <v>31010200</v>
      </c>
      <c r="D146" s="345">
        <f>D78</f>
        <v>35</v>
      </c>
      <c r="E146" s="345">
        <f aca="true" t="shared" si="48" ref="E146:X147">E78</f>
        <v>35</v>
      </c>
      <c r="F146" s="345">
        <f t="shared" si="48"/>
        <v>15.37</v>
      </c>
      <c r="G146" s="345">
        <f t="shared" si="48"/>
        <v>5.62</v>
      </c>
      <c r="H146" s="345">
        <f t="shared" si="48"/>
        <v>-9.75</v>
      </c>
      <c r="I146" s="444">
        <f t="shared" si="48"/>
        <v>0.36564736499674694</v>
      </c>
      <c r="J146" s="345">
        <f t="shared" si="48"/>
        <v>-29.38</v>
      </c>
      <c r="K146" s="444">
        <f t="shared" si="48"/>
        <v>0.1605714285714286</v>
      </c>
      <c r="L146" s="345">
        <f t="shared" si="48"/>
        <v>0</v>
      </c>
      <c r="M146" s="345">
        <f t="shared" si="48"/>
        <v>0</v>
      </c>
      <c r="N146" s="345">
        <f t="shared" si="48"/>
        <v>0</v>
      </c>
      <c r="O146" s="345">
        <f t="shared" si="48"/>
        <v>34.22</v>
      </c>
      <c r="P146" s="345">
        <f t="shared" si="48"/>
        <v>0.7800000000000011</v>
      </c>
      <c r="Q146" s="444">
        <f t="shared" si="48"/>
        <v>1.0227936879018118</v>
      </c>
      <c r="R146" s="345">
        <f t="shared" si="48"/>
        <v>22.35</v>
      </c>
      <c r="S146" s="345">
        <f t="shared" si="48"/>
        <v>-16.73</v>
      </c>
      <c r="T146" s="444">
        <f t="shared" si="48"/>
        <v>0.25145413870246086</v>
      </c>
      <c r="U146" s="345">
        <f t="shared" si="48"/>
        <v>2.8999999999999986</v>
      </c>
      <c r="V146" s="345">
        <f t="shared" si="48"/>
        <v>0.8799999999999999</v>
      </c>
      <c r="W146" s="345">
        <f t="shared" si="48"/>
        <v>-2.0199999999999987</v>
      </c>
      <c r="X146" s="444">
        <f t="shared" si="48"/>
        <v>0.3034482758620691</v>
      </c>
      <c r="Y146" s="446">
        <f t="shared" si="42"/>
        <v>-0.7713395491993509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 t="shared" si="48"/>
        <v>0</v>
      </c>
      <c r="F147" s="345">
        <f t="shared" si="48"/>
        <v>0</v>
      </c>
      <c r="G147" s="345">
        <f t="shared" si="48"/>
        <v>0.67</v>
      </c>
      <c r="H147" s="345">
        <f t="shared" si="48"/>
        <v>0.67</v>
      </c>
      <c r="I147" s="444" t="e">
        <f t="shared" si="48"/>
        <v>#DIV/0!</v>
      </c>
      <c r="J147" s="345">
        <f t="shared" si="48"/>
        <v>0.67</v>
      </c>
      <c r="K147" s="444">
        <f t="shared" si="48"/>
        <v>0</v>
      </c>
      <c r="L147" s="345">
        <f t="shared" si="48"/>
        <v>0</v>
      </c>
      <c r="M147" s="345">
        <f t="shared" si="48"/>
        <v>0</v>
      </c>
      <c r="N147" s="345">
        <f t="shared" si="48"/>
        <v>0</v>
      </c>
      <c r="O147" s="345">
        <f t="shared" si="48"/>
        <v>-4.86</v>
      </c>
      <c r="P147" s="345">
        <f t="shared" si="48"/>
        <v>4.86</v>
      </c>
      <c r="Q147" s="444">
        <f t="shared" si="48"/>
        <v>0</v>
      </c>
      <c r="R147" s="345">
        <f t="shared" si="48"/>
        <v>-5.25</v>
      </c>
      <c r="S147" s="345">
        <f t="shared" si="48"/>
        <v>5.92</v>
      </c>
      <c r="T147" s="444">
        <f t="shared" si="48"/>
        <v>-0.12761904761904763</v>
      </c>
      <c r="U147" s="345">
        <f t="shared" si="48"/>
        <v>0</v>
      </c>
      <c r="V147" s="345">
        <f t="shared" si="48"/>
        <v>0.17000000000000004</v>
      </c>
      <c r="W147" s="345">
        <f t="shared" si="48"/>
        <v>0.17000000000000004</v>
      </c>
      <c r="X147" s="444">
        <f t="shared" si="48"/>
        <v>0</v>
      </c>
      <c r="Y147" s="446">
        <f t="shared" si="42"/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847.3299999999999</v>
      </c>
      <c r="H148" s="351">
        <f>SUM(H139:H147)</f>
        <v>319.53</v>
      </c>
      <c r="I148" s="189">
        <f>G148/F148</f>
        <v>1.6053997726411515</v>
      </c>
      <c r="J148" s="351">
        <f>G148-E148</f>
        <v>-456.77</v>
      </c>
      <c r="K148" s="441">
        <f>G148/E148</f>
        <v>0.6497431178590599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171.63000000000002</v>
      </c>
      <c r="T148" s="189">
        <f>G148/R148</f>
        <v>1.2540032558827883</v>
      </c>
      <c r="U148" s="351">
        <f>SUM(U139:U147)</f>
        <v>108.4</v>
      </c>
      <c r="V148" s="351">
        <f>SUM(V139:V147)</f>
        <v>309.01</v>
      </c>
      <c r="W148" s="351">
        <f>SUM(W139:W147)</f>
        <v>200.60999999999999</v>
      </c>
      <c r="X148" s="189">
        <f>V148/U148</f>
        <v>2.8506457564575642</v>
      </c>
      <c r="Y148" s="189">
        <f t="shared" si="42"/>
        <v>0.20089990785236034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 aca="true" t="shared" si="49" ref="D151:X151">D60</f>
        <v>1284</v>
      </c>
      <c r="E151" s="323">
        <f t="shared" si="49"/>
        <v>1284</v>
      </c>
      <c r="F151" s="323">
        <f t="shared" si="49"/>
        <v>498</v>
      </c>
      <c r="G151" s="323">
        <f t="shared" si="49"/>
        <v>473.76</v>
      </c>
      <c r="H151" s="323">
        <f t="shared" si="49"/>
        <v>-24.24000000000001</v>
      </c>
      <c r="I151" s="357">
        <f t="shared" si="49"/>
        <v>0.9513253012048193</v>
      </c>
      <c r="J151" s="323">
        <f t="shared" si="49"/>
        <v>-810.24</v>
      </c>
      <c r="K151" s="357">
        <f t="shared" si="49"/>
        <v>0.3689719626168224</v>
      </c>
      <c r="L151" s="323">
        <f t="shared" si="49"/>
        <v>0</v>
      </c>
      <c r="M151" s="323">
        <f t="shared" si="49"/>
        <v>0</v>
      </c>
      <c r="N151" s="323">
        <f t="shared" si="49"/>
        <v>0</v>
      </c>
      <c r="O151" s="323">
        <f t="shared" si="49"/>
        <v>1205.14</v>
      </c>
      <c r="P151" s="323">
        <f t="shared" si="49"/>
        <v>78.8599999999999</v>
      </c>
      <c r="Q151" s="357">
        <f t="shared" si="49"/>
        <v>1.0654363808354215</v>
      </c>
      <c r="R151" s="323">
        <f t="shared" si="49"/>
        <v>505.13</v>
      </c>
      <c r="S151" s="323">
        <f t="shared" si="49"/>
        <v>-31.370000000000005</v>
      </c>
      <c r="T151" s="357">
        <f t="shared" si="49"/>
        <v>0.9378971749846574</v>
      </c>
      <c r="U151" s="323">
        <f t="shared" si="49"/>
        <v>114</v>
      </c>
      <c r="V151" s="323">
        <f t="shared" si="49"/>
        <v>97.37</v>
      </c>
      <c r="W151" s="323">
        <f t="shared" si="49"/>
        <v>-16.629999999999995</v>
      </c>
      <c r="X151" s="357">
        <f t="shared" si="49"/>
        <v>0.854122807017544</v>
      </c>
      <c r="Y151" s="446">
        <f t="shared" si="42"/>
        <v>-0.12753920585076406</v>
      </c>
    </row>
    <row r="152" spans="2:25" ht="15" hidden="1">
      <c r="B152" s="355" t="s">
        <v>106</v>
      </c>
      <c r="C152" s="356">
        <v>22010200</v>
      </c>
      <c r="D152" s="323">
        <f aca="true" t="shared" si="50" ref="D152:X152">D61</f>
        <v>0</v>
      </c>
      <c r="E152" s="323">
        <f t="shared" si="50"/>
        <v>0</v>
      </c>
      <c r="F152" s="323">
        <f t="shared" si="50"/>
        <v>0</v>
      </c>
      <c r="G152" s="323">
        <f t="shared" si="50"/>
        <v>0</v>
      </c>
      <c r="H152" s="323">
        <f t="shared" si="50"/>
        <v>0</v>
      </c>
      <c r="I152" s="357" t="e">
        <f t="shared" si="50"/>
        <v>#DIV/0!</v>
      </c>
      <c r="J152" s="323">
        <f t="shared" si="50"/>
        <v>0</v>
      </c>
      <c r="K152" s="357" t="e">
        <f t="shared" si="50"/>
        <v>#DIV/0!</v>
      </c>
      <c r="L152" s="323">
        <f t="shared" si="50"/>
        <v>0</v>
      </c>
      <c r="M152" s="323">
        <f t="shared" si="50"/>
        <v>0</v>
      </c>
      <c r="N152" s="323">
        <f t="shared" si="50"/>
        <v>0</v>
      </c>
      <c r="O152" s="323">
        <f t="shared" si="50"/>
        <v>23.38</v>
      </c>
      <c r="P152" s="323">
        <f t="shared" si="50"/>
        <v>-23.38</v>
      </c>
      <c r="Q152" s="357">
        <f t="shared" si="50"/>
        <v>0</v>
      </c>
      <c r="R152" s="323">
        <f t="shared" si="50"/>
        <v>0</v>
      </c>
      <c r="S152" s="323">
        <f t="shared" si="50"/>
        <v>0</v>
      </c>
      <c r="T152" s="357">
        <f t="shared" si="50"/>
        <v>0</v>
      </c>
      <c r="U152" s="323">
        <f t="shared" si="50"/>
        <v>0</v>
      </c>
      <c r="V152" s="323">
        <f t="shared" si="50"/>
        <v>0</v>
      </c>
      <c r="W152" s="323">
        <f t="shared" si="50"/>
        <v>0</v>
      </c>
      <c r="X152" s="357" t="e">
        <f t="shared" si="50"/>
        <v>#DIV/0!</v>
      </c>
      <c r="Y152" s="446">
        <f t="shared" si="42"/>
        <v>0</v>
      </c>
    </row>
    <row r="153" spans="2:25" ht="15" hidden="1">
      <c r="B153" s="358" t="s">
        <v>65</v>
      </c>
      <c r="C153" s="359">
        <v>22012500</v>
      </c>
      <c r="D153" s="360">
        <f aca="true" t="shared" si="51" ref="D153:X153">D62</f>
        <v>21260</v>
      </c>
      <c r="E153" s="360">
        <f t="shared" si="51"/>
        <v>22260</v>
      </c>
      <c r="F153" s="360">
        <f t="shared" si="51"/>
        <v>10090</v>
      </c>
      <c r="G153" s="360">
        <f t="shared" si="51"/>
        <v>10554.88</v>
      </c>
      <c r="H153" s="360">
        <f t="shared" si="51"/>
        <v>464.8799999999992</v>
      </c>
      <c r="I153" s="362">
        <f t="shared" si="51"/>
        <v>1.046073339940535</v>
      </c>
      <c r="J153" s="360">
        <f t="shared" si="51"/>
        <v>-11705.12</v>
      </c>
      <c r="K153" s="362">
        <f t="shared" si="51"/>
        <v>0.47416352201257855</v>
      </c>
      <c r="L153" s="360">
        <f t="shared" si="51"/>
        <v>0</v>
      </c>
      <c r="M153" s="360">
        <f t="shared" si="51"/>
        <v>0</v>
      </c>
      <c r="N153" s="360">
        <f t="shared" si="51"/>
        <v>0</v>
      </c>
      <c r="O153" s="360">
        <f t="shared" si="51"/>
        <v>20110.14</v>
      </c>
      <c r="P153" s="360">
        <f t="shared" si="51"/>
        <v>2149.8600000000006</v>
      </c>
      <c r="Q153" s="362">
        <f t="shared" si="51"/>
        <v>1.1069042781402816</v>
      </c>
      <c r="R153" s="360">
        <f t="shared" si="51"/>
        <v>6250.27</v>
      </c>
      <c r="S153" s="360">
        <f t="shared" si="51"/>
        <v>4304.609999999999</v>
      </c>
      <c r="T153" s="362">
        <f t="shared" si="51"/>
        <v>1.6887078478209738</v>
      </c>
      <c r="U153" s="360">
        <f t="shared" si="51"/>
        <v>2600</v>
      </c>
      <c r="V153" s="360">
        <f t="shared" si="51"/>
        <v>2262.42</v>
      </c>
      <c r="W153" s="360">
        <f t="shared" si="51"/>
        <v>-337.5799999999999</v>
      </c>
      <c r="X153" s="362">
        <f t="shared" si="51"/>
        <v>0.8701615384615385</v>
      </c>
      <c r="Y153" s="446">
        <f t="shared" si="42"/>
        <v>0.5818035696806922</v>
      </c>
    </row>
    <row r="154" spans="2:25" ht="30.75" hidden="1">
      <c r="B154" s="358" t="s">
        <v>86</v>
      </c>
      <c r="C154" s="359">
        <v>22012600</v>
      </c>
      <c r="D154" s="360">
        <f aca="true" t="shared" si="52" ref="D154:X154">D63</f>
        <v>767</v>
      </c>
      <c r="E154" s="360">
        <f t="shared" si="52"/>
        <v>767</v>
      </c>
      <c r="F154" s="360">
        <f t="shared" si="52"/>
        <v>313</v>
      </c>
      <c r="G154" s="360">
        <f t="shared" si="52"/>
        <v>346.44</v>
      </c>
      <c r="H154" s="360">
        <f t="shared" si="52"/>
        <v>33.44</v>
      </c>
      <c r="I154" s="362">
        <f t="shared" si="52"/>
        <v>1.1068370607028755</v>
      </c>
      <c r="J154" s="360">
        <f t="shared" si="52"/>
        <v>-420.56</v>
      </c>
      <c r="K154" s="362">
        <f t="shared" si="52"/>
        <v>0.4516818774445893</v>
      </c>
      <c r="L154" s="360">
        <f t="shared" si="52"/>
        <v>0</v>
      </c>
      <c r="M154" s="360">
        <f t="shared" si="52"/>
        <v>0</v>
      </c>
      <c r="N154" s="360">
        <f t="shared" si="52"/>
        <v>0</v>
      </c>
      <c r="O154" s="360">
        <f t="shared" si="52"/>
        <v>710.04</v>
      </c>
      <c r="P154" s="360">
        <f t="shared" si="52"/>
        <v>56.960000000000036</v>
      </c>
      <c r="Q154" s="362">
        <f t="shared" si="52"/>
        <v>1.0802208326291478</v>
      </c>
      <c r="R154" s="360">
        <f t="shared" si="52"/>
        <v>216.35</v>
      </c>
      <c r="S154" s="360">
        <f t="shared" si="52"/>
        <v>130.09</v>
      </c>
      <c r="T154" s="362">
        <f t="shared" si="52"/>
        <v>1.6012941992142362</v>
      </c>
      <c r="U154" s="360">
        <f t="shared" si="52"/>
        <v>64</v>
      </c>
      <c r="V154" s="360">
        <f t="shared" si="52"/>
        <v>73.58999999999997</v>
      </c>
      <c r="W154" s="360">
        <f t="shared" si="52"/>
        <v>9.589999999999975</v>
      </c>
      <c r="X154" s="362">
        <f t="shared" si="52"/>
        <v>1.1498437499999996</v>
      </c>
      <c r="Y154" s="446">
        <f t="shared" si="42"/>
        <v>0.5210733665850884</v>
      </c>
    </row>
    <row r="155" spans="2:25" ht="30.75" hidden="1">
      <c r="B155" s="358" t="s">
        <v>90</v>
      </c>
      <c r="C155" s="359">
        <v>22012900</v>
      </c>
      <c r="D155" s="360">
        <f aca="true" t="shared" si="53" ref="D155:X155">D64</f>
        <v>44</v>
      </c>
      <c r="E155" s="360">
        <f t="shared" si="53"/>
        <v>44</v>
      </c>
      <c r="F155" s="360">
        <f t="shared" si="53"/>
        <v>16</v>
      </c>
      <c r="G155" s="360">
        <f t="shared" si="53"/>
        <v>14.82</v>
      </c>
      <c r="H155" s="360">
        <f t="shared" si="53"/>
        <v>-1.1799999999999997</v>
      </c>
      <c r="I155" s="362">
        <f t="shared" si="53"/>
        <v>0.92625</v>
      </c>
      <c r="J155" s="360">
        <f t="shared" si="53"/>
        <v>-29.18</v>
      </c>
      <c r="K155" s="362">
        <f t="shared" si="53"/>
        <v>0.33681818181818185</v>
      </c>
      <c r="L155" s="360">
        <f t="shared" si="53"/>
        <v>0</v>
      </c>
      <c r="M155" s="360">
        <f t="shared" si="53"/>
        <v>0</v>
      </c>
      <c r="N155" s="360">
        <f t="shared" si="53"/>
        <v>0</v>
      </c>
      <c r="O155" s="360">
        <f t="shared" si="53"/>
        <v>41.44</v>
      </c>
      <c r="P155" s="360">
        <f t="shared" si="53"/>
        <v>2.5600000000000023</v>
      </c>
      <c r="Q155" s="362">
        <f t="shared" si="53"/>
        <v>1.0617760617760619</v>
      </c>
      <c r="R155" s="360">
        <f t="shared" si="53"/>
        <v>12.32</v>
      </c>
      <c r="S155" s="360">
        <f t="shared" si="53"/>
        <v>2.5</v>
      </c>
      <c r="T155" s="362">
        <f t="shared" si="53"/>
        <v>1.202922077922078</v>
      </c>
      <c r="U155" s="360">
        <f t="shared" si="53"/>
        <v>4</v>
      </c>
      <c r="V155" s="360">
        <f t="shared" si="53"/>
        <v>1.7599999999999998</v>
      </c>
      <c r="W155" s="360">
        <f t="shared" si="53"/>
        <v>-2.24</v>
      </c>
      <c r="X155" s="362">
        <f t="shared" si="53"/>
        <v>0.43999999999999995</v>
      </c>
      <c r="Y155" s="446">
        <f t="shared" si="42"/>
        <v>0.14114601614601607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 aca="true" t="shared" si="54" ref="E156:W156">SUM(E151:E155)</f>
        <v>24355</v>
      </c>
      <c r="F156" s="351">
        <f t="shared" si="54"/>
        <v>10917</v>
      </c>
      <c r="G156" s="351">
        <f t="shared" si="54"/>
        <v>11389.9</v>
      </c>
      <c r="H156" s="351">
        <f t="shared" si="54"/>
        <v>472.8999999999992</v>
      </c>
      <c r="I156" s="189">
        <f>G156/F156</f>
        <v>1.0433177612897315</v>
      </c>
      <c r="J156" s="351">
        <f t="shared" si="54"/>
        <v>-12965.1</v>
      </c>
      <c r="K156" s="189">
        <f>G156/E156</f>
        <v>0.4676616711147608</v>
      </c>
      <c r="L156" s="351">
        <f t="shared" si="54"/>
        <v>0</v>
      </c>
      <c r="M156" s="351">
        <f t="shared" si="54"/>
        <v>0</v>
      </c>
      <c r="N156" s="351">
        <f t="shared" si="54"/>
        <v>0</v>
      </c>
      <c r="O156" s="351">
        <f t="shared" si="54"/>
        <v>22090.14</v>
      </c>
      <c r="P156" s="351">
        <f t="shared" si="54"/>
        <v>2264.8600000000006</v>
      </c>
      <c r="Q156" s="189">
        <f>E156/O156</f>
        <v>1.1025280962456554</v>
      </c>
      <c r="R156" s="351">
        <f t="shared" si="54"/>
        <v>6984.070000000001</v>
      </c>
      <c r="S156" s="351">
        <f t="shared" si="54"/>
        <v>4405.829999999999</v>
      </c>
      <c r="T156" s="189">
        <f>G156/R156</f>
        <v>1.6308398970800693</v>
      </c>
      <c r="U156" s="351">
        <f t="shared" si="54"/>
        <v>2782</v>
      </c>
      <c r="V156" s="351">
        <f t="shared" si="54"/>
        <v>2435.1400000000003</v>
      </c>
      <c r="W156" s="351">
        <f t="shared" si="54"/>
        <v>-346.85999999999996</v>
      </c>
      <c r="X156" s="189">
        <f>V156/U156</f>
        <v>0.8753199137311288</v>
      </c>
      <c r="Y156" s="189">
        <f t="shared" si="42"/>
        <v>0.5283118008344139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 aca="true" t="shared" si="55" ref="E160:X160">E72</f>
        <v>8170</v>
      </c>
      <c r="F160" s="348">
        <f t="shared" si="55"/>
        <v>3288.65</v>
      </c>
      <c r="G160" s="348">
        <f t="shared" si="55"/>
        <v>2800.45</v>
      </c>
      <c r="H160" s="348">
        <f t="shared" si="55"/>
        <v>-488.2000000000003</v>
      </c>
      <c r="I160" s="347">
        <f t="shared" si="55"/>
        <v>0.851550028127043</v>
      </c>
      <c r="J160" s="348">
        <f t="shared" si="55"/>
        <v>-5369.55</v>
      </c>
      <c r="K160" s="347">
        <f t="shared" si="55"/>
        <v>0.3427723378212974</v>
      </c>
      <c r="L160" s="348">
        <f t="shared" si="55"/>
        <v>0</v>
      </c>
      <c r="M160" s="348">
        <f t="shared" si="55"/>
        <v>0</v>
      </c>
      <c r="N160" s="348">
        <f t="shared" si="55"/>
        <v>0</v>
      </c>
      <c r="O160" s="348">
        <f t="shared" si="55"/>
        <v>8086.92</v>
      </c>
      <c r="P160" s="348">
        <f t="shared" si="55"/>
        <v>83.07999999999993</v>
      </c>
      <c r="Q160" s="347">
        <f t="shared" si="55"/>
        <v>1.0102733797292418</v>
      </c>
      <c r="R160" s="348">
        <f t="shared" si="55"/>
        <v>4037.14</v>
      </c>
      <c r="S160" s="348">
        <f t="shared" si="55"/>
        <v>-1236.69</v>
      </c>
      <c r="T160" s="347">
        <f t="shared" si="55"/>
        <v>0.6936717577294818</v>
      </c>
      <c r="U160" s="348">
        <f t="shared" si="55"/>
        <v>680</v>
      </c>
      <c r="V160" s="348">
        <f t="shared" si="55"/>
        <v>766.4199999999998</v>
      </c>
      <c r="W160" s="348">
        <f t="shared" si="55"/>
        <v>86.41999999999985</v>
      </c>
      <c r="X160" s="347">
        <f t="shared" si="55"/>
        <v>1.1270882352941174</v>
      </c>
      <c r="Y160" s="189">
        <f t="shared" si="42"/>
        <v>-0.31660162199976005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 aca="true" t="shared" si="56" ref="E161:X161">E76</f>
        <v>174.4</v>
      </c>
      <c r="F161" s="348">
        <f t="shared" si="56"/>
        <v>20</v>
      </c>
      <c r="G161" s="348">
        <f t="shared" si="56"/>
        <v>0</v>
      </c>
      <c r="H161" s="348">
        <f t="shared" si="56"/>
        <v>-20</v>
      </c>
      <c r="I161" s="347">
        <f t="shared" si="56"/>
        <v>0</v>
      </c>
      <c r="J161" s="348">
        <f t="shared" si="56"/>
        <v>-174.4</v>
      </c>
      <c r="K161" s="347">
        <f t="shared" si="56"/>
        <v>0</v>
      </c>
      <c r="L161" s="348">
        <f t="shared" si="56"/>
        <v>0</v>
      </c>
      <c r="M161" s="348">
        <f t="shared" si="56"/>
        <v>0</v>
      </c>
      <c r="N161" s="348">
        <f t="shared" si="56"/>
        <v>0</v>
      </c>
      <c r="O161" s="348">
        <f t="shared" si="56"/>
        <v>142.18</v>
      </c>
      <c r="P161" s="348">
        <f t="shared" si="56"/>
        <v>32.22</v>
      </c>
      <c r="Q161" s="347">
        <f t="shared" si="56"/>
        <v>1.2266141510761006</v>
      </c>
      <c r="R161" s="348">
        <f t="shared" si="56"/>
        <v>54.64</v>
      </c>
      <c r="S161" s="348">
        <f t="shared" si="56"/>
        <v>-54.64</v>
      </c>
      <c r="T161" s="347">
        <f t="shared" si="56"/>
        <v>0</v>
      </c>
      <c r="U161" s="348">
        <f t="shared" si="56"/>
        <v>0</v>
      </c>
      <c r="V161" s="348">
        <f t="shared" si="56"/>
        <v>0</v>
      </c>
      <c r="W161" s="348">
        <f t="shared" si="56"/>
        <v>0</v>
      </c>
      <c r="X161" s="347" t="e">
        <f t="shared" si="56"/>
        <v>#DIV/0!</v>
      </c>
      <c r="Y161" s="189">
        <f t="shared" si="42"/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 aca="true" t="shared" si="57" ref="E162:W162">SUM(E160:E161)</f>
        <v>8344.4</v>
      </c>
      <c r="F162" s="351">
        <f t="shared" si="57"/>
        <v>3308.65</v>
      </c>
      <c r="G162" s="351">
        <f t="shared" si="57"/>
        <v>2800.45</v>
      </c>
      <c r="H162" s="351">
        <f t="shared" si="57"/>
        <v>-508.2000000000003</v>
      </c>
      <c r="I162" s="189">
        <f>G162/F162</f>
        <v>0.84640261133695</v>
      </c>
      <c r="J162" s="351">
        <f t="shared" si="57"/>
        <v>-5543.95</v>
      </c>
      <c r="K162" s="189">
        <f>G162/E162</f>
        <v>0.3356083121614496</v>
      </c>
      <c r="L162" s="351">
        <f t="shared" si="57"/>
        <v>0</v>
      </c>
      <c r="M162" s="351">
        <f t="shared" si="57"/>
        <v>0</v>
      </c>
      <c r="N162" s="351">
        <f t="shared" si="57"/>
        <v>0</v>
      </c>
      <c r="O162" s="351">
        <f t="shared" si="57"/>
        <v>8229.1</v>
      </c>
      <c r="P162" s="351">
        <f t="shared" si="57"/>
        <v>115.29999999999993</v>
      </c>
      <c r="Q162" s="189">
        <f>E162/O162</f>
        <v>1.0140112527493892</v>
      </c>
      <c r="R162" s="351">
        <f t="shared" si="57"/>
        <v>4091.7799999999997</v>
      </c>
      <c r="S162" s="351">
        <f t="shared" si="57"/>
        <v>-1291.3300000000002</v>
      </c>
      <c r="T162" s="189">
        <f>G162/R162</f>
        <v>0.684408741427936</v>
      </c>
      <c r="U162" s="351">
        <f t="shared" si="57"/>
        <v>680</v>
      </c>
      <c r="V162" s="351">
        <f t="shared" si="57"/>
        <v>766.4199999999998</v>
      </c>
      <c r="W162" s="351">
        <f t="shared" si="57"/>
        <v>86.41999999999985</v>
      </c>
      <c r="X162" s="189">
        <f>V162/U162</f>
        <v>1.1270882352941174</v>
      </c>
      <c r="Y162" s="189">
        <f t="shared" si="42"/>
        <v>-0.32960251132145324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" right="0" top="0" bottom="0" header="0" footer="0"/>
  <pageSetup fitToHeight="2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4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52" sqref="C5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237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227</v>
      </c>
      <c r="V3" s="502" t="s">
        <v>228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224</v>
      </c>
      <c r="G4" s="487" t="s">
        <v>31</v>
      </c>
      <c r="H4" s="475" t="s">
        <v>225</v>
      </c>
      <c r="I4" s="489" t="s">
        <v>226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230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229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 aca="true" t="shared" si="0" ref="I8:I15">G8/F8</f>
        <v>1.050290366939418</v>
      </c>
      <c r="J8" s="104">
        <f aca="true" t="shared" si="1" ref="J8:J52">G8-E8</f>
        <v>-1081931.42</v>
      </c>
      <c r="K8" s="156">
        <f aca="true" t="shared" si="2" ref="K8:K14">G8/E8</f>
        <v>0.3155078551401343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98390.12</v>
      </c>
      <c r="T8" s="143">
        <f aca="true" t="shared" si="6" ref="T8:T22">G8/R8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 aca="true" t="shared" si="7" ref="X8:X15">V8/U8</f>
        <v>1.161580280776019</v>
      </c>
      <c r="Y8" s="199">
        <f aca="true" t="shared" si="8" ref="Y8:Y22">T8-Q8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 t="shared" si="0"/>
        <v>1.1023565982393424</v>
      </c>
      <c r="J9" s="108">
        <f t="shared" si="1"/>
        <v>-657848.9299999999</v>
      </c>
      <c r="K9" s="148">
        <f t="shared" si="2"/>
        <v>0.312019592074068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75257.97</v>
      </c>
      <c r="T9" s="144">
        <f t="shared" si="6"/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 t="shared" si="7"/>
        <v>1.2945862439616393</v>
      </c>
      <c r="Y9" s="200">
        <f t="shared" si="8"/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 aca="true" t="shared" si="9" ref="H10:H47">G10-F10</f>
        <v>23487.25</v>
      </c>
      <c r="I10" s="209">
        <f t="shared" si="0"/>
        <v>1.0942832529884947</v>
      </c>
      <c r="J10" s="72">
        <f t="shared" si="1"/>
        <v>-609202.05</v>
      </c>
      <c r="K10" s="75">
        <f t="shared" si="2"/>
        <v>0.30914042025259614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68235.09000000003</v>
      </c>
      <c r="T10" s="145">
        <f t="shared" si="6"/>
        <v>1.3338869319953932</v>
      </c>
      <c r="U10" s="73">
        <f>F10-березень!F10</f>
        <v>56235</v>
      </c>
      <c r="V10" s="98">
        <f>G10-березень!G10</f>
        <v>72766.06</v>
      </c>
      <c r="W10" s="74">
        <f aca="true" t="shared" si="10" ref="W10:W52">V10-U10</f>
        <v>16531.059999999998</v>
      </c>
      <c r="X10" s="75">
        <f t="shared" si="7"/>
        <v>1.2939639014848403</v>
      </c>
      <c r="Y10" s="198">
        <f t="shared" si="8"/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 t="shared" si="9"/>
        <v>1944.4399999999987</v>
      </c>
      <c r="I11" s="209">
        <f t="shared" si="0"/>
        <v>1.1337791629686198</v>
      </c>
      <c r="J11" s="72">
        <f t="shared" si="1"/>
        <v>-33420.86</v>
      </c>
      <c r="K11" s="75">
        <f t="shared" si="2"/>
        <v>0.3302432865731463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4049.99</v>
      </c>
      <c r="T11" s="145">
        <f t="shared" si="6"/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 t="shared" si="10"/>
        <v>675.9499999999989</v>
      </c>
      <c r="X11" s="75">
        <f t="shared" si="7"/>
        <v>1.178822751322751</v>
      </c>
      <c r="Y11" s="198">
        <f t="shared" si="8"/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 t="shared" si="9"/>
        <v>845.1200000000003</v>
      </c>
      <c r="I12" s="209">
        <f t="shared" si="0"/>
        <v>1.2687690218514762</v>
      </c>
      <c r="J12" s="72">
        <f t="shared" si="1"/>
        <v>-8010.469999999999</v>
      </c>
      <c r="K12" s="75">
        <f t="shared" si="2"/>
        <v>0.33246083333333337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1379.94</v>
      </c>
      <c r="T12" s="145">
        <f t="shared" si="6"/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 t="shared" si="10"/>
        <v>-139.62099999999964</v>
      </c>
      <c r="X12" s="75">
        <f t="shared" si="7"/>
        <v>0.8357401932468318</v>
      </c>
      <c r="Y12" s="198">
        <f t="shared" si="8"/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 t="shared" si="9"/>
        <v>1363.1400000000003</v>
      </c>
      <c r="I13" s="209">
        <f t="shared" si="0"/>
        <v>1.377214489304591</v>
      </c>
      <c r="J13" s="72">
        <f t="shared" si="1"/>
        <v>-7023.16</v>
      </c>
      <c r="K13" s="75">
        <f t="shared" si="2"/>
        <v>0.4147366666666667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1767.5100000000002</v>
      </c>
      <c r="T13" s="145">
        <f t="shared" si="6"/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 t="shared" si="10"/>
        <v>1069.3600000000006</v>
      </c>
      <c r="X13" s="75">
        <f t="shared" si="7"/>
        <v>2.9205459770114963</v>
      </c>
      <c r="Y13" s="198">
        <f t="shared" si="8"/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 t="shared" si="9"/>
        <v>272.68</v>
      </c>
      <c r="I15" s="208">
        <f t="shared" si="0"/>
        <v>5.195076923076924</v>
      </c>
      <c r="J15" s="108">
        <f t="shared" si="1"/>
        <v>-562.3199999999999</v>
      </c>
      <c r="K15" s="108">
        <f aca="true" t="shared" si="11" ref="K15:K23">G15/E15*100</f>
        <v>37.52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654.04</v>
      </c>
      <c r="T15" s="146">
        <f t="shared" si="6"/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 t="shared" si="10"/>
        <v>-4.939999999999998</v>
      </c>
      <c r="X15" s="148">
        <f t="shared" si="7"/>
        <v>0.012000000000000455</v>
      </c>
      <c r="Y15" s="197">
        <f t="shared" si="8"/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 t="shared" si="9"/>
        <v>-7914.779999999999</v>
      </c>
      <c r="I19" s="208">
        <f t="shared" si="12"/>
        <v>0.8240769059791065</v>
      </c>
      <c r="J19" s="108">
        <f t="shared" si="1"/>
        <v>-114652.78</v>
      </c>
      <c r="K19" s="108">
        <f t="shared" si="11"/>
        <v>24.4353184646209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970.4599999999991</v>
      </c>
      <c r="T19" s="146">
        <f t="shared" si="6"/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 t="shared" si="10"/>
        <v>-1905.3600000000006</v>
      </c>
      <c r="X19" s="148">
        <f t="shared" si="13"/>
        <v>0.8324958241758241</v>
      </c>
      <c r="Y19" s="197">
        <f t="shared" si="8"/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 t="shared" si="9"/>
        <v>-906.2299999999996</v>
      </c>
      <c r="I20" s="211">
        <f t="shared" si="12"/>
        <v>0.9487716223855286</v>
      </c>
      <c r="J20" s="171">
        <f t="shared" si="1"/>
        <v>-49924.229999999996</v>
      </c>
      <c r="K20" s="171">
        <f t="shared" si="11"/>
        <v>25.160055765425437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-5195.810000000001</v>
      </c>
      <c r="T20" s="172">
        <f t="shared" si="6"/>
        <v>0.7636074028712104</v>
      </c>
      <c r="U20" s="136">
        <f>F20-березень!F20</f>
        <v>4475</v>
      </c>
      <c r="V20" s="124">
        <f>G20-березень!G20</f>
        <v>4145.4</v>
      </c>
      <c r="W20" s="116">
        <f t="shared" si="10"/>
        <v>-329.60000000000036</v>
      </c>
      <c r="X20" s="180">
        <f t="shared" si="13"/>
        <v>0.9263463687150837</v>
      </c>
      <c r="Y20" s="197">
        <f t="shared" si="8"/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 t="shared" si="9"/>
        <v>-532.1099999999997</v>
      </c>
      <c r="I21" s="211">
        <f t="shared" si="12"/>
        <v>0.8976711538461539</v>
      </c>
      <c r="J21" s="171">
        <f t="shared" si="1"/>
        <v>-11028.11</v>
      </c>
      <c r="K21" s="171">
        <f t="shared" si="11"/>
        <v>29.73936034658512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1548.9500000000003</v>
      </c>
      <c r="T21" s="172">
        <f t="shared" si="6"/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 t="shared" si="10"/>
        <v>-144.9699999999998</v>
      </c>
      <c r="X21" s="180">
        <f t="shared" si="13"/>
        <v>0.8884846153846155</v>
      </c>
      <c r="Y21" s="197">
        <f t="shared" si="8"/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 t="shared" si="9"/>
        <v>-6476.450000000001</v>
      </c>
      <c r="I22" s="211">
        <f t="shared" si="12"/>
        <v>0.706947963800905</v>
      </c>
      <c r="J22" s="171">
        <f t="shared" si="1"/>
        <v>-53700.45</v>
      </c>
      <c r="K22" s="171">
        <f t="shared" si="11"/>
        <v>22.537000173100225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4617.3099999999995</v>
      </c>
      <c r="T22" s="172">
        <f t="shared" si="6"/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 t="shared" si="10"/>
        <v>-1430.800000000001</v>
      </c>
      <c r="X22" s="180">
        <f t="shared" si="13"/>
        <v>0.7444999999999998</v>
      </c>
      <c r="Y22" s="197">
        <f t="shared" si="8"/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 t="shared" si="9"/>
        <v>3743.970000000001</v>
      </c>
      <c r="I23" s="208">
        <f t="shared" si="12"/>
        <v>1.0235473958031966</v>
      </c>
      <c r="J23" s="108">
        <f t="shared" si="1"/>
        <v>-308826.0299999999</v>
      </c>
      <c r="K23" s="108">
        <f t="shared" si="11"/>
        <v>34.51070600330134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21431.880000000005</v>
      </c>
      <c r="T23" s="147">
        <f aca="true" t="shared" si="14" ref="T23:T41">G23/R23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 t="shared" si="10"/>
        <v>2110.4400000000023</v>
      </c>
      <c r="X23" s="148">
        <f t="shared" si="13"/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 t="shared" si="9"/>
        <v>1569.8499999999913</v>
      </c>
      <c r="I24" s="208">
        <f t="shared" si="12"/>
        <v>1.022493907079251</v>
      </c>
      <c r="J24" s="108">
        <f t="shared" si="1"/>
        <v>-145482.14</v>
      </c>
      <c r="K24" s="148">
        <f aca="true" t="shared" si="15" ref="K24:K41">G24/E24</f>
        <v>0.3290868927606276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3682.8600000000006</v>
      </c>
      <c r="T24" s="147">
        <f t="shared" si="14"/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 t="shared" si="10"/>
        <v>371.83999999998923</v>
      </c>
      <c r="X24" s="148">
        <f t="shared" si="13"/>
        <v>1.018665729632046</v>
      </c>
      <c r="Y24" s="197">
        <f aca="true" t="shared" si="16" ref="Y24:Y99">T24-Q24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 t="shared" si="9"/>
        <v>1330.6100000000006</v>
      </c>
      <c r="I25" s="211">
        <f t="shared" si="12"/>
        <v>1.118418546700485</v>
      </c>
      <c r="J25" s="171">
        <f t="shared" si="1"/>
        <v>-16216.89</v>
      </c>
      <c r="K25" s="180">
        <f t="shared" si="15"/>
        <v>0.4366005419677599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2820.800000000001</v>
      </c>
      <c r="T25" s="152">
        <f t="shared" si="14"/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 t="shared" si="10"/>
        <v>746.3600000000006</v>
      </c>
      <c r="X25" s="180">
        <f t="shared" si="13"/>
        <v>1.1529739700758352</v>
      </c>
      <c r="Y25" s="197">
        <f t="shared" si="16"/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 t="shared" si="9"/>
        <v>417.67999999999995</v>
      </c>
      <c r="I26" s="212">
        <f t="shared" si="12"/>
        <v>2.4884715441359893</v>
      </c>
      <c r="J26" s="176">
        <f t="shared" si="1"/>
        <v>-823.71</v>
      </c>
      <c r="K26" s="191">
        <f t="shared" si="15"/>
        <v>0.4587976346911958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498.04999999999995</v>
      </c>
      <c r="T26" s="162">
        <f t="shared" si="14"/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 t="shared" si="10"/>
        <v>117.72999999999996</v>
      </c>
      <c r="X26" s="191">
        <f t="shared" si="13"/>
        <v>2.7062318840579707</v>
      </c>
      <c r="Y26" s="197">
        <f t="shared" si="16"/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 t="shared" si="9"/>
        <v>912.9300000000003</v>
      </c>
      <c r="I27" s="212">
        <f t="shared" si="12"/>
        <v>1.083327780764502</v>
      </c>
      <c r="J27" s="176">
        <f t="shared" si="1"/>
        <v>-15393.18</v>
      </c>
      <c r="K27" s="191">
        <f t="shared" si="15"/>
        <v>0.435361308781454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2322.75</v>
      </c>
      <c r="T27" s="162">
        <f t="shared" si="14"/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 t="shared" si="10"/>
        <v>628.630000000001</v>
      </c>
      <c r="X27" s="191">
        <f t="shared" si="13"/>
        <v>1.1306923076923079</v>
      </c>
      <c r="Y27" s="197">
        <f t="shared" si="16"/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 t="shared" si="9"/>
        <v>35.089999999999975</v>
      </c>
      <c r="I28" s="220">
        <f t="shared" si="12"/>
        <v>1.2642319277108431</v>
      </c>
      <c r="J28" s="221">
        <f t="shared" si="1"/>
        <v>-148.11</v>
      </c>
      <c r="K28" s="222">
        <f t="shared" si="15"/>
        <v>0.5312974683544304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-1.1800000000000068</v>
      </c>
      <c r="T28" s="222">
        <f t="shared" si="14"/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 t="shared" si="10"/>
        <v>21.31999999999998</v>
      </c>
      <c r="X28" s="222">
        <f t="shared" si="13"/>
        <v>1.3279999999999996</v>
      </c>
      <c r="Y28" s="465">
        <f t="shared" si="16"/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 t="shared" si="9"/>
        <v>382.59</v>
      </c>
      <c r="I29" s="220">
        <f t="shared" si="12"/>
        <v>3.588390501319261</v>
      </c>
      <c r="J29" s="221">
        <f t="shared" si="1"/>
        <v>-675.6</v>
      </c>
      <c r="K29" s="222">
        <f t="shared" si="15"/>
        <v>0.43980099502487563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499.22999999999996</v>
      </c>
      <c r="T29" s="222">
        <f t="shared" si="14"/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 t="shared" si="10"/>
        <v>96.40999999999997</v>
      </c>
      <c r="X29" s="222">
        <f t="shared" si="13"/>
        <v>25.102499999999992</v>
      </c>
      <c r="Y29" s="465">
        <f t="shared" si="16"/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 t="shared" si="9"/>
        <v>272.63000000000005</v>
      </c>
      <c r="I30" s="220">
        <f t="shared" si="12"/>
        <v>1.8259262625344606</v>
      </c>
      <c r="J30" s="221">
        <f t="shared" si="1"/>
        <v>-1752.28</v>
      </c>
      <c r="K30" s="222">
        <f t="shared" si="15"/>
        <v>0.25593205944798303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531.3100000000001</v>
      </c>
      <c r="T30" s="222">
        <f t="shared" si="14"/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 t="shared" si="10"/>
        <v>39.76999999999998</v>
      </c>
      <c r="X30" s="222">
        <f t="shared" si="13"/>
        <v>4.9769999999999985</v>
      </c>
      <c r="Y30" s="465">
        <f t="shared" si="16"/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 t="shared" si="9"/>
        <v>640.3000000000011</v>
      </c>
      <c r="I31" s="220">
        <f t="shared" si="12"/>
        <v>1.060258992264112</v>
      </c>
      <c r="J31" s="221">
        <f t="shared" si="1"/>
        <v>-13640.9</v>
      </c>
      <c r="K31" s="222">
        <f t="shared" si="15"/>
        <v>0.45232665515718473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1791.4400000000005</v>
      </c>
      <c r="T31" s="222">
        <f t="shared" si="14"/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 t="shared" si="13"/>
        <v>1.122679166666667</v>
      </c>
      <c r="Y31" s="465">
        <f t="shared" si="16"/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 t="shared" si="9"/>
        <v>289.20000000000005</v>
      </c>
      <c r="I32" s="211">
        <f t="shared" si="12"/>
        <v>2.6811021333488347</v>
      </c>
      <c r="J32" s="171">
        <f t="shared" si="1"/>
        <v>179.23000000000002</v>
      </c>
      <c r="K32" s="180">
        <f t="shared" si="15"/>
        <v>1.6355673758865248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356.72</v>
      </c>
      <c r="T32" s="150">
        <f t="shared" si="14"/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 t="shared" si="10"/>
        <v>104.16000000000003</v>
      </c>
      <c r="X32" s="180">
        <f t="shared" si="13"/>
        <v>9.680000000000001</v>
      </c>
      <c r="Y32" s="198">
        <f t="shared" si="16"/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465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 t="shared" si="9"/>
        <v>195.70999999999998</v>
      </c>
      <c r="I34" s="209">
        <f t="shared" si="12"/>
        <v>2.357400471632681</v>
      </c>
      <c r="J34" s="72">
        <f t="shared" si="1"/>
        <v>157.89</v>
      </c>
      <c r="K34" s="75">
        <f t="shared" si="15"/>
        <v>1.8675274725274724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191.97</v>
      </c>
      <c r="T34" s="75">
        <f t="shared" si="14"/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 t="shared" si="13"/>
        <v>9.68</v>
      </c>
      <c r="Y34" s="465">
        <f t="shared" si="16"/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 t="shared" si="9"/>
        <v>-49.9600000000064</v>
      </c>
      <c r="I35" s="211">
        <f t="shared" si="12"/>
        <v>0.9991442491694282</v>
      </c>
      <c r="J35" s="171">
        <f t="shared" si="1"/>
        <v>-129444.48000000001</v>
      </c>
      <c r="K35" s="180">
        <f t="shared" si="15"/>
        <v>0.3106441717791411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505.3599999999933</v>
      </c>
      <c r="T35" s="149">
        <f t="shared" si="14"/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 t="shared" si="10"/>
        <v>-478.68000000000757</v>
      </c>
      <c r="X35" s="180">
        <f t="shared" si="13"/>
        <v>0.9681516966067859</v>
      </c>
      <c r="Y35" s="198">
        <f t="shared" si="16"/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f>G38+G40</f>
        <v>17995.91</v>
      </c>
      <c r="H36" s="158">
        <f t="shared" si="9"/>
        <v>-1299.3200000000033</v>
      </c>
      <c r="I36" s="212">
        <f t="shared" si="12"/>
        <v>0.9326610773750816</v>
      </c>
      <c r="J36" s="176">
        <f t="shared" si="1"/>
        <v>-42694.09</v>
      </c>
      <c r="K36" s="191">
        <f t="shared" si="15"/>
        <v>0.2965218322623167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-1308.6299999999974</v>
      </c>
      <c r="T36" s="162">
        <f t="shared" si="14"/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 t="shared" si="10"/>
        <v>-583.7800000000043</v>
      </c>
      <c r="X36" s="191">
        <f aca="true" t="shared" si="18" ref="X36:X41">V36/U36*100</f>
        <v>88.1586206896551</v>
      </c>
      <c r="Y36" s="197">
        <f t="shared" si="16"/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40335.61</v>
      </c>
      <c r="H37" s="158">
        <f t="shared" si="9"/>
        <v>1249.3600000000006</v>
      </c>
      <c r="I37" s="212">
        <f t="shared" si="12"/>
        <v>1.0319641817774794</v>
      </c>
      <c r="J37" s="176">
        <f t="shared" si="1"/>
        <v>-86750.39</v>
      </c>
      <c r="K37" s="191">
        <f t="shared" si="15"/>
        <v>0.31738830398312956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1813.979999999996</v>
      </c>
      <c r="T37" s="162">
        <f t="shared" si="14"/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 t="shared" si="10"/>
        <v>105.10000000000218</v>
      </c>
      <c r="X37" s="191">
        <f>V37/U37</f>
        <v>1.0104059405940595</v>
      </c>
      <c r="Y37" s="197">
        <f t="shared" si="16"/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 t="shared" si="9"/>
        <v>-831.7900000000009</v>
      </c>
      <c r="I38" s="220">
        <f t="shared" si="12"/>
        <v>0.9550004327973859</v>
      </c>
      <c r="J38" s="221">
        <f t="shared" si="1"/>
        <v>-39637.39</v>
      </c>
      <c r="K38" s="222">
        <f t="shared" si="15"/>
        <v>0.30812724733810437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-1269.2599999999984</v>
      </c>
      <c r="T38" s="222">
        <f t="shared" si="14"/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 t="shared" si="10"/>
        <v>-430.96000000000095</v>
      </c>
      <c r="X38" s="222">
        <f t="shared" si="18"/>
        <v>90.83063829787233</v>
      </c>
      <c r="Y38" s="465">
        <f t="shared" si="16"/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 t="shared" si="9"/>
        <v>913.8300000000017</v>
      </c>
      <c r="I39" s="220">
        <f t="shared" si="12"/>
        <v>1.0276973156793243</v>
      </c>
      <c r="J39" s="221">
        <f t="shared" si="1"/>
        <v>-72078.72</v>
      </c>
      <c r="K39" s="222">
        <f t="shared" si="15"/>
        <v>0.31992225388258827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1621.3999999999978</v>
      </c>
      <c r="T39" s="222">
        <f t="shared" si="14"/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 t="shared" si="10"/>
        <v>102.57000000000335</v>
      </c>
      <c r="X39" s="222">
        <f t="shared" si="18"/>
        <v>101.1926744186047</v>
      </c>
      <c r="Y39" s="465">
        <f t="shared" si="16"/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 t="shared" si="9"/>
        <v>-467.53000000000003</v>
      </c>
      <c r="I40" s="220">
        <f t="shared" si="12"/>
        <v>0.42339331302492506</v>
      </c>
      <c r="J40" s="221">
        <f t="shared" si="1"/>
        <v>-3056.7</v>
      </c>
      <c r="K40" s="222">
        <f t="shared" si="15"/>
        <v>0.10097058823529412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-39.370000000000005</v>
      </c>
      <c r="T40" s="222">
        <f t="shared" si="14"/>
        <v>0.8971176209266469</v>
      </c>
      <c r="U40" s="206">
        <f>F40-березень!F40</f>
        <v>230</v>
      </c>
      <c r="V40" s="206">
        <f>G40-березень!G40</f>
        <v>77.18</v>
      </c>
      <c r="W40" s="221">
        <f t="shared" si="10"/>
        <v>-152.82</v>
      </c>
      <c r="X40" s="222">
        <f t="shared" si="18"/>
        <v>33.55652173913044</v>
      </c>
      <c r="Y40" s="465">
        <f t="shared" si="16"/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 t="shared" si="9"/>
        <v>335.52999999999975</v>
      </c>
      <c r="I41" s="220">
        <f t="shared" si="12"/>
        <v>1.055069918592437</v>
      </c>
      <c r="J41" s="221">
        <f t="shared" si="1"/>
        <v>-14671.67</v>
      </c>
      <c r="K41" s="222">
        <f t="shared" si="15"/>
        <v>0.3046601895734597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192.57999999999993</v>
      </c>
      <c r="T41" s="222">
        <f t="shared" si="14"/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 t="shared" si="10"/>
        <v>2.5299999999997453</v>
      </c>
      <c r="X41" s="222">
        <f t="shared" si="18"/>
        <v>100.16866666666664</v>
      </c>
      <c r="Y41" s="465">
        <f t="shared" si="16"/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 t="shared" si="9"/>
        <v>17.529999999999994</v>
      </c>
      <c r="I43" s="208">
        <f>G43/F43</f>
        <v>1.3476105492762243</v>
      </c>
      <c r="J43" s="108">
        <f t="shared" si="1"/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15.549999999999997</v>
      </c>
      <c r="T43" s="148">
        <f aca="true" t="shared" si="19" ref="T43:T51">G43/R43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 t="shared" si="10"/>
        <v>3.729999999999997</v>
      </c>
      <c r="X43" s="148">
        <f>V43/U43</f>
        <v>1.2194117647058822</v>
      </c>
      <c r="Y43" s="466">
        <f t="shared" si="16"/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 t="shared" si="9"/>
        <v>25.15</v>
      </c>
      <c r="I44" s="209">
        <f>G44/F44</f>
        <v>1.813915857605178</v>
      </c>
      <c r="J44" s="72">
        <f t="shared" si="1"/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28.189999999999998</v>
      </c>
      <c r="T44" s="75">
        <f t="shared" si="19"/>
        <v>2.0118449389806172</v>
      </c>
      <c r="U44" s="73">
        <f>F44-березень!F44</f>
        <v>5</v>
      </c>
      <c r="V44" s="98">
        <f>G44-березень!G44</f>
        <v>17.15</v>
      </c>
      <c r="W44" s="74">
        <f t="shared" si="10"/>
        <v>12.149999999999999</v>
      </c>
      <c r="X44" s="75">
        <f>V44/U44</f>
        <v>3.4299999999999997</v>
      </c>
      <c r="Y44" s="465">
        <f t="shared" si="16"/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 t="shared" si="9"/>
        <v>-7.620000000000001</v>
      </c>
      <c r="I45" s="209">
        <f>G45/F45</f>
        <v>0.6098310291858678</v>
      </c>
      <c r="J45" s="72">
        <f t="shared" si="1"/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-12.64</v>
      </c>
      <c r="T45" s="75">
        <f t="shared" si="19"/>
        <v>0.485132382892057</v>
      </c>
      <c r="U45" s="73">
        <f>F45-березень!F45</f>
        <v>12</v>
      </c>
      <c r="V45" s="98">
        <f>G45-березень!G45</f>
        <v>3.58</v>
      </c>
      <c r="W45" s="74">
        <f t="shared" si="10"/>
        <v>-8.42</v>
      </c>
      <c r="X45" s="75">
        <f>V45/U45</f>
        <v>0.29833333333333334</v>
      </c>
      <c r="Y45" s="465">
        <f t="shared" si="16"/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 t="shared" si="9"/>
        <v>2157.779999999999</v>
      </c>
      <c r="I47" s="208">
        <f>G47/F47</f>
        <v>1.024202090789302</v>
      </c>
      <c r="J47" s="108">
        <f t="shared" si="1"/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17707.5</v>
      </c>
      <c r="T47" s="160">
        <f t="shared" si="19"/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 t="shared" si="10"/>
        <v>1734.2900000000081</v>
      </c>
      <c r="X47" s="148">
        <f>V47/U47</f>
        <v>1.084568160096745</v>
      </c>
      <c r="Y47" s="197">
        <f t="shared" si="16"/>
        <v>0.10096638726953677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 t="shared" si="1"/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3924.74</v>
      </c>
      <c r="T49" s="153">
        <f t="shared" si="19"/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 t="shared" si="10"/>
        <v>-583.0799999999981</v>
      </c>
      <c r="X49" s="75">
        <f>V49/U49</f>
        <v>0.8542300000000004</v>
      </c>
      <c r="Y49" s="197">
        <f t="shared" si="16"/>
        <v>0.043093301687456176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 t="shared" si="1"/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13773.450000000004</v>
      </c>
      <c r="T50" s="153">
        <f t="shared" si="19"/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 t="shared" si="10"/>
        <v>2314.8699999999953</v>
      </c>
      <c r="X50" s="75">
        <f>V50/U50</f>
        <v>1.1402951515151512</v>
      </c>
      <c r="Y50" s="197">
        <f t="shared" si="16"/>
        <v>0.11624584694570994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9"/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 t="shared" si="10"/>
        <v>2.5</v>
      </c>
      <c r="X51" s="75"/>
      <c r="Y51" s="197">
        <f t="shared" si="16"/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 aca="true" t="shared" si="20" ref="I53:I72">G53/F53</f>
        <v>1.1212768101288693</v>
      </c>
      <c r="J53" s="104">
        <f>G53-E53</f>
        <v>-31113.11</v>
      </c>
      <c r="K53" s="156">
        <f aca="true" t="shared" si="21" ref="K53:K72">G53/E53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 t="shared" si="16"/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 t="shared" si="22"/>
        <v>37.349999999999994</v>
      </c>
      <c r="I58" s="213">
        <f t="shared" si="20"/>
        <v>1.1791968526603656</v>
      </c>
      <c r="J58" s="115">
        <f t="shared" si="24"/>
        <v>-498.22</v>
      </c>
      <c r="K58" s="155">
        <f t="shared" si="21"/>
        <v>0.3303494623655914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-148.70000000000002</v>
      </c>
      <c r="T58" s="155">
        <f t="shared" si="27"/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 t="shared" si="23"/>
        <v>-38.81</v>
      </c>
      <c r="X58" s="155">
        <f t="shared" si="28"/>
        <v>0.35316666666666663</v>
      </c>
      <c r="Y58" s="197">
        <f t="shared" si="16"/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 t="shared" si="22"/>
        <v>9.219999999999999</v>
      </c>
      <c r="I59" s="213">
        <f t="shared" si="20"/>
        <v>1.3073333333333332</v>
      </c>
      <c r="J59" s="115">
        <f t="shared" si="24"/>
        <v>-76.28</v>
      </c>
      <c r="K59" s="155">
        <f t="shared" si="21"/>
        <v>0.3395670995670996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38.21</v>
      </c>
      <c r="T59" s="155">
        <f t="shared" si="27"/>
        <v>38.83168316831683</v>
      </c>
      <c r="U59" s="107">
        <f>F59-березень!F59</f>
        <v>10</v>
      </c>
      <c r="V59" s="110">
        <f>G59-березень!G59</f>
        <v>30.6</v>
      </c>
      <c r="W59" s="111">
        <f t="shared" si="23"/>
        <v>20.6</v>
      </c>
      <c r="X59" s="155">
        <f t="shared" si="28"/>
        <v>3.06</v>
      </c>
      <c r="Y59" s="197">
        <f t="shared" si="16"/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 t="shared" si="22"/>
        <v>-7.610000000000014</v>
      </c>
      <c r="I60" s="213">
        <f t="shared" si="20"/>
        <v>0.9801822916666666</v>
      </c>
      <c r="J60" s="115">
        <f t="shared" si="24"/>
        <v>-907.61</v>
      </c>
      <c r="K60" s="155">
        <f t="shared" si="21"/>
        <v>0.2931386292834891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-17.08000000000004</v>
      </c>
      <c r="T60" s="155">
        <f t="shared" si="27"/>
        <v>0.9565913538516277</v>
      </c>
      <c r="U60" s="107">
        <f>F60-березень!F60</f>
        <v>100</v>
      </c>
      <c r="V60" s="110">
        <f>G60-березень!G60</f>
        <v>96.06</v>
      </c>
      <c r="W60" s="111">
        <f t="shared" si="23"/>
        <v>-3.9399999999999977</v>
      </c>
      <c r="X60" s="155">
        <f t="shared" si="28"/>
        <v>0.9606</v>
      </c>
      <c r="Y60" s="197">
        <f t="shared" si="16"/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 t="shared" si="22"/>
        <v>802.4599999999991</v>
      </c>
      <c r="I62" s="213">
        <f t="shared" si="20"/>
        <v>1.1071375166889184</v>
      </c>
      <c r="J62" s="115">
        <f t="shared" si="24"/>
        <v>-12967.54</v>
      </c>
      <c r="K62" s="155">
        <f t="shared" si="21"/>
        <v>0.3900498588899341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3610.949999999999</v>
      </c>
      <c r="T62" s="155">
        <f t="shared" si="27"/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 t="shared" si="23"/>
        <v>290.5199999999995</v>
      </c>
      <c r="X62" s="155">
        <f t="shared" si="28"/>
        <v>1.1613999999999998</v>
      </c>
      <c r="Y62" s="197">
        <f t="shared" si="16"/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 t="shared" si="22"/>
        <v>23.850000000000023</v>
      </c>
      <c r="I63" s="213">
        <f t="shared" si="20"/>
        <v>1.0957831325301206</v>
      </c>
      <c r="J63" s="115">
        <f t="shared" si="24"/>
        <v>-494.15</v>
      </c>
      <c r="K63" s="155">
        <f t="shared" si="21"/>
        <v>0.35573663624511087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97.48000000000002</v>
      </c>
      <c r="T63" s="155">
        <f t="shared" si="27"/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 t="shared" si="23"/>
        <v>6.690000000000026</v>
      </c>
      <c r="X63" s="155">
        <f t="shared" si="28"/>
        <v>1.1045312500000004</v>
      </c>
      <c r="Y63" s="197">
        <f t="shared" si="16"/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 t="shared" si="22"/>
        <v>-37.389999999999986</v>
      </c>
      <c r="I66" s="213">
        <f t="shared" si="20"/>
        <v>0.8613336300252189</v>
      </c>
      <c r="J66" s="115">
        <f t="shared" si="24"/>
        <v>-633.75</v>
      </c>
      <c r="K66" s="155">
        <f t="shared" si="21"/>
        <v>0.2681870669745958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-57.00999999999999</v>
      </c>
      <c r="T66" s="155">
        <f t="shared" si="27"/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 t="shared" si="23"/>
        <v>-2.5500000000000114</v>
      </c>
      <c r="X66" s="155">
        <f t="shared" si="28"/>
        <v>0.9657718120805368</v>
      </c>
      <c r="Y66" s="197">
        <f t="shared" si="16"/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 t="shared" si="22"/>
        <v>-38.91</v>
      </c>
      <c r="I67" s="209">
        <f t="shared" si="20"/>
        <v>0.8258437024438278</v>
      </c>
      <c r="J67" s="72">
        <f t="shared" si="24"/>
        <v>-543.69</v>
      </c>
      <c r="K67" s="75">
        <f t="shared" si="21"/>
        <v>0.2533781928041747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-70.87</v>
      </c>
      <c r="T67" s="204">
        <f t="shared" si="27"/>
        <v>0.7224919727464953</v>
      </c>
      <c r="U67" s="73">
        <f>F67-березень!F67</f>
        <v>63</v>
      </c>
      <c r="V67" s="98">
        <f>G67-березень!G67</f>
        <v>60.05</v>
      </c>
      <c r="W67" s="74">
        <f t="shared" si="23"/>
        <v>-2.950000000000003</v>
      </c>
      <c r="X67" s="75">
        <f t="shared" si="28"/>
        <v>0.9531746031746031</v>
      </c>
      <c r="Y67" s="197">
        <f t="shared" si="16"/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 t="shared" si="22"/>
        <v>1.6699999999999946</v>
      </c>
      <c r="I70" s="209">
        <f t="shared" si="20"/>
        <v>1.0362885701868751</v>
      </c>
      <c r="J70" s="72">
        <f t="shared" si="24"/>
        <v>-89.11000000000001</v>
      </c>
      <c r="K70" s="75">
        <f t="shared" si="21"/>
        <v>0.34861111111111104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13.919999999999995</v>
      </c>
      <c r="T70" s="204">
        <f t="shared" si="27"/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 t="shared" si="23"/>
        <v>0.4999999999999929</v>
      </c>
      <c r="X70" s="75">
        <f t="shared" si="28"/>
        <v>1.0438596491228063</v>
      </c>
      <c r="Y70" s="197">
        <f t="shared" si="16"/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 t="shared" si="22"/>
        <v>-574.6200000000001</v>
      </c>
      <c r="I72" s="213">
        <f t="shared" si="20"/>
        <v>0.7797251451900408</v>
      </c>
      <c r="J72" s="115">
        <f t="shared" si="24"/>
        <v>-6135.97</v>
      </c>
      <c r="K72" s="155">
        <f t="shared" si="21"/>
        <v>0.24896328029375764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-1502.18</v>
      </c>
      <c r="T72" s="155">
        <f t="shared" si="27"/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 t="shared" si="23"/>
        <v>-144.67000000000007</v>
      </c>
      <c r="X72" s="155">
        <f t="shared" si="28"/>
        <v>0.7872499999999999</v>
      </c>
      <c r="Y72" s="197">
        <f t="shared" si="16"/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 t="shared" si="22"/>
        <v>0.5</v>
      </c>
      <c r="I78" s="213" t="e">
        <f>G78/F78</f>
        <v>#DIV/0!</v>
      </c>
      <c r="J78" s="115">
        <f t="shared" si="24"/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5.75</v>
      </c>
      <c r="T78" s="155">
        <f t="shared" si="27"/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 t="shared" si="23"/>
        <v>0.04999999999999999</v>
      </c>
      <c r="X78" s="155"/>
      <c r="Y78" s="197">
        <f t="shared" si="16"/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 t="shared" si="16"/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 t="shared" si="31"/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1570.74</v>
      </c>
      <c r="T88" s="147">
        <f t="shared" si="30"/>
        <v>13090.5</v>
      </c>
      <c r="U88" s="112">
        <f>F88-березень!F88</f>
        <v>0</v>
      </c>
      <c r="V88" s="118">
        <f>G88-березень!G88</f>
        <v>764.3999999999999</v>
      </c>
      <c r="W88" s="117">
        <f t="shared" si="34"/>
        <v>764.3999999999999</v>
      </c>
      <c r="X88" s="147" t="e">
        <f>V88/U88</f>
        <v>#DIV/0!</v>
      </c>
      <c r="Y88" s="197">
        <f t="shared" si="16"/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 t="shared" si="31"/>
        <v>-1553.64</v>
      </c>
      <c r="I89" s="213">
        <f>G89/F89</f>
        <v>0.4846965174129353</v>
      </c>
      <c r="J89" s="117">
        <f aca="true" t="shared" si="35" ref="J89:J98">G89-E89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1158.4399999999998</v>
      </c>
      <c r="T89" s="147">
        <f t="shared" si="30"/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 t="shared" si="34"/>
        <v>-740.3500000000001</v>
      </c>
      <c r="X89" s="147">
        <f>V89/U89</f>
        <v>0.2596499999999999</v>
      </c>
      <c r="Y89" s="197">
        <f t="shared" si="16"/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 t="shared" si="31"/>
        <v>-6251.63</v>
      </c>
      <c r="I90" s="213">
        <f>G90/F90</f>
        <v>0.21854625</v>
      </c>
      <c r="J90" s="117">
        <f t="shared" si="35"/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-73.08000000000015</v>
      </c>
      <c r="T90" s="147">
        <f t="shared" si="30"/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 t="shared" si="34"/>
        <v>-1709.42</v>
      </c>
      <c r="X90" s="147">
        <f>V90/U90</f>
        <v>0.14528999999999997</v>
      </c>
      <c r="Y90" s="197">
        <f t="shared" si="16"/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 t="shared" si="31"/>
        <v>-4</v>
      </c>
      <c r="I91" s="213">
        <f>G91/F91</f>
        <v>0.5</v>
      </c>
      <c r="J91" s="117">
        <f t="shared" si="35"/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-1</v>
      </c>
      <c r="T91" s="147">
        <f t="shared" si="30"/>
        <v>0.8</v>
      </c>
      <c r="U91" s="112">
        <f>F91-березень!F91</f>
        <v>2</v>
      </c>
      <c r="V91" s="118">
        <f>G91-березень!G91</f>
        <v>1</v>
      </c>
      <c r="W91" s="117">
        <f t="shared" si="34"/>
        <v>-1</v>
      </c>
      <c r="X91" s="147">
        <f>V91/U91</f>
        <v>0.5</v>
      </c>
      <c r="Y91" s="197">
        <f t="shared" si="16"/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 t="shared" si="31"/>
        <v>-7044.839</v>
      </c>
      <c r="I92" s="216">
        <f>G92/F92</f>
        <v>0.4044649999590006</v>
      </c>
      <c r="J92" s="131">
        <f t="shared" si="35"/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2655.11</v>
      </c>
      <c r="T92" s="147">
        <f t="shared" si="30"/>
        <v>2.24683490805267</v>
      </c>
      <c r="U92" s="129">
        <f>F92-березень!F92</f>
        <v>3002</v>
      </c>
      <c r="V92" s="174">
        <f>G92-березень!G92</f>
        <v>1315.63</v>
      </c>
      <c r="W92" s="131">
        <f t="shared" si="34"/>
        <v>-1686.37</v>
      </c>
      <c r="X92" s="151">
        <f>V92/U92</f>
        <v>0.4382511658894071</v>
      </c>
      <c r="Y92" s="197">
        <f t="shared" si="16"/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 t="shared" si="31"/>
        <v>-229.75</v>
      </c>
      <c r="I95" s="213">
        <f>G95/F95</f>
        <v>0.9189151034957384</v>
      </c>
      <c r="J95" s="117">
        <f t="shared" si="35"/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372.15999999999985</v>
      </c>
      <c r="T95" s="147">
        <f t="shared" si="30"/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 t="shared" si="34"/>
        <v>88.65000000000009</v>
      </c>
      <c r="X95" s="147">
        <f>V95/U95</f>
        <v>7.470802919708122</v>
      </c>
      <c r="Y95" s="197">
        <f t="shared" si="16"/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 t="shared" si="31"/>
        <v>-239.44999999999982</v>
      </c>
      <c r="I97" s="216">
        <f>G97/F97</f>
        <v>0.9158185237919457</v>
      </c>
      <c r="J97" s="131">
        <f t="shared" si="35"/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364.17999999999984</v>
      </c>
      <c r="T97" s="147">
        <f t="shared" si="30"/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 t="shared" si="34"/>
        <v>84.71000000000049</v>
      </c>
      <c r="X97" s="151">
        <f>V97/U97</f>
        <v>5.7858757062147665</v>
      </c>
      <c r="Y97" s="197">
        <f t="shared" si="16"/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 t="shared" si="31"/>
        <v>1.9900000000000002</v>
      </c>
      <c r="I98" s="213">
        <f>G98/F98</f>
        <v>1.1422444603288062</v>
      </c>
      <c r="J98" s="117">
        <f t="shared" si="35"/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8.38</v>
      </c>
      <c r="T98" s="147">
        <f t="shared" si="30"/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 t="shared" si="34"/>
        <v>-2.7947799999999994</v>
      </c>
      <c r="X98" s="147">
        <f>V98/U98</f>
        <v>0.523463795743404</v>
      </c>
      <c r="Y98" s="197">
        <f t="shared" si="16"/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 t="shared" si="30"/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 t="shared" si="30"/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469"/>
      <c r="H106" s="469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469"/>
      <c r="H107" s="469"/>
      <c r="I107" s="273"/>
      <c r="J107" s="276"/>
    </row>
    <row r="108" spans="3:10" ht="15">
      <c r="C108" s="271"/>
      <c r="D108" s="4"/>
      <c r="F108" s="278"/>
      <c r="G108" s="470"/>
      <c r="H108" s="470"/>
      <c r="I108" s="279"/>
      <c r="J108" s="274"/>
    </row>
    <row r="109" spans="2:10" ht="16.5">
      <c r="B109" s="471" t="s">
        <v>165</v>
      </c>
      <c r="C109" s="472"/>
      <c r="D109" s="280"/>
      <c r="E109" s="434">
        <f>'[1]залишки'!$G$6/1000</f>
        <v>1.88042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645</v>
      </c>
      <c r="G112" s="435">
        <f t="shared" si="36"/>
        <v>662.3</v>
      </c>
      <c r="H112" s="278">
        <f t="shared" si="36"/>
        <v>17.30000000000001</v>
      </c>
      <c r="I112" s="436">
        <f>G112/F112</f>
        <v>1.0268217054263564</v>
      </c>
      <c r="J112" s="278">
        <f t="shared" si="36"/>
        <v>-1432.7</v>
      </c>
      <c r="K112" s="436">
        <f>G112/E112</f>
        <v>0.3161336515513126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580.2</v>
      </c>
      <c r="S112" s="278">
        <f t="shared" si="36"/>
        <v>82.09999999999998</v>
      </c>
      <c r="T112" s="436">
        <f>G112/R112</f>
        <v>1.1415029300241295</v>
      </c>
      <c r="U112" s="278">
        <f t="shared" si="36"/>
        <v>168</v>
      </c>
      <c r="V112" s="288">
        <f t="shared" si="36"/>
        <v>172.05000000000004</v>
      </c>
      <c r="W112" s="278">
        <f t="shared" si="36"/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34942.189</v>
      </c>
      <c r="G124" s="295">
        <f t="shared" si="38"/>
        <v>9567.269999999997</v>
      </c>
      <c r="H124" s="295">
        <f t="shared" si="38"/>
        <v>-25374.919</v>
      </c>
      <c r="I124" s="447">
        <f t="shared" si="37"/>
        <v>0.27380282328619987</v>
      </c>
      <c r="J124" s="295">
        <f t="shared" si="38"/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524168.549</v>
      </c>
      <c r="G125" s="295">
        <f t="shared" si="39"/>
        <v>524410.6799999999</v>
      </c>
      <c r="H125" s="295">
        <f t="shared" si="39"/>
        <v>242.1309999999903</v>
      </c>
      <c r="I125" s="447">
        <f t="shared" si="37"/>
        <v>1.0004619334762872</v>
      </c>
      <c r="J125" s="295">
        <f t="shared" si="39"/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846255.279</v>
      </c>
      <c r="G130" s="314">
        <f t="shared" si="40"/>
        <v>524410.6799999999</v>
      </c>
      <c r="H130" s="314">
        <f t="shared" si="40"/>
        <v>-321844.599</v>
      </c>
      <c r="I130" s="449">
        <f t="shared" si="37"/>
        <v>0.6196837916564417</v>
      </c>
      <c r="J130" s="314">
        <f t="shared" si="40"/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42</v>
      </c>
      <c r="G140" s="333">
        <f t="shared" si="43"/>
        <v>51.82</v>
      </c>
      <c r="H140" s="333">
        <f t="shared" si="43"/>
        <v>9.82</v>
      </c>
      <c r="I140" s="442">
        <f t="shared" si="43"/>
        <v>1.233809523809524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82.8</v>
      </c>
      <c r="S140" s="333">
        <f t="shared" si="43"/>
        <v>-30.979999999999997</v>
      </c>
      <c r="T140" s="442">
        <f t="shared" si="43"/>
        <v>0.6258454106280193</v>
      </c>
      <c r="U140" s="333">
        <f t="shared" si="43"/>
        <v>14</v>
      </c>
      <c r="V140" s="333">
        <f t="shared" si="43"/>
        <v>0</v>
      </c>
      <c r="W140" s="333">
        <f t="shared" si="43"/>
        <v>-14</v>
      </c>
      <c r="X140" s="357">
        <f t="shared" si="43"/>
        <v>0</v>
      </c>
      <c r="Y140" s="446">
        <f t="shared" si="42"/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5</v>
      </c>
      <c r="G141" s="338">
        <f t="shared" si="43"/>
        <v>2.02</v>
      </c>
      <c r="H141" s="338">
        <f t="shared" si="43"/>
        <v>-2.98</v>
      </c>
      <c r="I141" s="443">
        <f t="shared" si="43"/>
        <v>0.404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208.43</v>
      </c>
      <c r="G142" s="323">
        <f t="shared" si="43"/>
        <v>245.78</v>
      </c>
      <c r="H142" s="323">
        <f t="shared" si="43"/>
        <v>37.349999999999994</v>
      </c>
      <c r="I142" s="357">
        <f t="shared" si="43"/>
        <v>1.1791968526603656</v>
      </c>
      <c r="J142" s="323">
        <f t="shared" si="43"/>
        <v>-498.22</v>
      </c>
      <c r="K142" s="357">
        <f t="shared" si="43"/>
        <v>0.3303494623655914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394.48</v>
      </c>
      <c r="S142" s="323">
        <f t="shared" si="43"/>
        <v>-148.70000000000002</v>
      </c>
      <c r="T142" s="357">
        <f t="shared" si="43"/>
        <v>0.6230480632731697</v>
      </c>
      <c r="U142" s="323">
        <f t="shared" si="43"/>
        <v>60</v>
      </c>
      <c r="V142" s="323">
        <f t="shared" si="43"/>
        <v>21.189999999999998</v>
      </c>
      <c r="W142" s="323">
        <f t="shared" si="43"/>
        <v>-38.81</v>
      </c>
      <c r="X142" s="357">
        <f t="shared" si="43"/>
        <v>0.35316666666666663</v>
      </c>
      <c r="Y142" s="446">
        <f t="shared" si="42"/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30</v>
      </c>
      <c r="G143" s="323">
        <f t="shared" si="43"/>
        <v>39.22</v>
      </c>
      <c r="H143" s="323">
        <f t="shared" si="43"/>
        <v>9.219999999999999</v>
      </c>
      <c r="I143" s="357">
        <f t="shared" si="43"/>
        <v>1.3073333333333332</v>
      </c>
      <c r="J143" s="323">
        <f t="shared" si="43"/>
        <v>-76.28</v>
      </c>
      <c r="K143" s="357">
        <f t="shared" si="43"/>
        <v>0.3395670995670996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1.01</v>
      </c>
      <c r="S143" s="323">
        <f t="shared" si="43"/>
        <v>38.21</v>
      </c>
      <c r="T143" s="357">
        <f t="shared" si="43"/>
        <v>38.83168316831683</v>
      </c>
      <c r="U143" s="323">
        <f t="shared" si="43"/>
        <v>10</v>
      </c>
      <c r="V143" s="323">
        <f t="shared" si="43"/>
        <v>30.6</v>
      </c>
      <c r="W143" s="323">
        <f t="shared" si="43"/>
        <v>20.6</v>
      </c>
      <c r="X143" s="357">
        <f t="shared" si="43"/>
        <v>3.06</v>
      </c>
      <c r="Y143" s="446">
        <f t="shared" si="42"/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12.47</v>
      </c>
      <c r="G145" s="345">
        <f t="shared" si="45"/>
        <v>4.74</v>
      </c>
      <c r="H145" s="345">
        <f t="shared" si="45"/>
        <v>-7.73</v>
      </c>
      <c r="I145" s="444">
        <f t="shared" si="45"/>
        <v>0.38011226944667204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16.85</v>
      </c>
      <c r="S145" s="345">
        <f t="shared" si="45"/>
        <v>-12.110000000000001</v>
      </c>
      <c r="T145" s="444">
        <f t="shared" si="45"/>
        <v>0.2813056379821958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0.5</v>
      </c>
      <c r="H146" s="345">
        <f t="shared" si="45"/>
        <v>0.5</v>
      </c>
      <c r="I146" s="444" t="e">
        <f t="shared" si="45"/>
        <v>#DIV/0!</v>
      </c>
      <c r="J146" s="345">
        <f t="shared" si="45"/>
        <v>0.5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-5.25</v>
      </c>
      <c r="S146" s="345">
        <f t="shared" si="45"/>
        <v>5.75</v>
      </c>
      <c r="T146" s="444">
        <f t="shared" si="45"/>
        <v>-0.09523809523809523</v>
      </c>
      <c r="U146" s="345">
        <f t="shared" si="45"/>
        <v>0</v>
      </c>
      <c r="V146" s="345">
        <f t="shared" si="45"/>
        <v>0.04999999999999999</v>
      </c>
      <c r="W146" s="345">
        <f t="shared" si="45"/>
        <v>0.04999999999999999</v>
      </c>
      <c r="X146" s="444">
        <f t="shared" si="45"/>
        <v>0</v>
      </c>
      <c r="Y146" s="446">
        <f t="shared" si="42"/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 t="shared" si="42"/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384</v>
      </c>
      <c r="G150" s="323">
        <f t="shared" si="46"/>
        <v>376.39</v>
      </c>
      <c r="H150" s="323">
        <f t="shared" si="46"/>
        <v>-7.610000000000014</v>
      </c>
      <c r="I150" s="357">
        <f t="shared" si="46"/>
        <v>0.9801822916666666</v>
      </c>
      <c r="J150" s="323">
        <f t="shared" si="46"/>
        <v>-907.61</v>
      </c>
      <c r="K150" s="357">
        <f t="shared" si="46"/>
        <v>0.2931386292834891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393.47</v>
      </c>
      <c r="S150" s="323">
        <f t="shared" si="46"/>
        <v>-17.08000000000004</v>
      </c>
      <c r="T150" s="357">
        <f t="shared" si="46"/>
        <v>0.9565913538516277</v>
      </c>
      <c r="U150" s="323">
        <f t="shared" si="46"/>
        <v>100</v>
      </c>
      <c r="V150" s="323">
        <f t="shared" si="46"/>
        <v>96.06</v>
      </c>
      <c r="W150" s="323">
        <f t="shared" si="46"/>
        <v>-3.9399999999999977</v>
      </c>
      <c r="X150" s="357">
        <f t="shared" si="46"/>
        <v>0.9606</v>
      </c>
      <c r="Y150" s="446">
        <f t="shared" si="42"/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7490</v>
      </c>
      <c r="G152" s="360">
        <f t="shared" si="46"/>
        <v>8292.46</v>
      </c>
      <c r="H152" s="360">
        <f t="shared" si="46"/>
        <v>802.4599999999991</v>
      </c>
      <c r="I152" s="362">
        <f t="shared" si="46"/>
        <v>1.1071375166889184</v>
      </c>
      <c r="J152" s="360">
        <f t="shared" si="46"/>
        <v>-12967.54</v>
      </c>
      <c r="K152" s="362">
        <f t="shared" si="46"/>
        <v>0.3900498588899341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4681.51</v>
      </c>
      <c r="S152" s="360">
        <f t="shared" si="46"/>
        <v>3610.949999999999</v>
      </c>
      <c r="T152" s="362">
        <f t="shared" si="46"/>
        <v>1.771321646220984</v>
      </c>
      <c r="U152" s="360">
        <f t="shared" si="46"/>
        <v>1800</v>
      </c>
      <c r="V152" s="360">
        <f t="shared" si="46"/>
        <v>2090.5199999999995</v>
      </c>
      <c r="W152" s="360">
        <f t="shared" si="46"/>
        <v>290.5199999999995</v>
      </c>
      <c r="X152" s="362">
        <f t="shared" si="46"/>
        <v>1.1613999999999998</v>
      </c>
      <c r="Y152" s="446">
        <f t="shared" si="42"/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249</v>
      </c>
      <c r="G153" s="360">
        <f t="shared" si="46"/>
        <v>272.85</v>
      </c>
      <c r="H153" s="360">
        <f t="shared" si="46"/>
        <v>23.850000000000023</v>
      </c>
      <c r="I153" s="362">
        <f t="shared" si="46"/>
        <v>1.0957831325301206</v>
      </c>
      <c r="J153" s="360">
        <f t="shared" si="46"/>
        <v>-494.15</v>
      </c>
      <c r="K153" s="362">
        <f t="shared" si="46"/>
        <v>0.35573663624511087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175.37</v>
      </c>
      <c r="S153" s="360">
        <f t="shared" si="46"/>
        <v>97.48000000000002</v>
      </c>
      <c r="T153" s="362">
        <f t="shared" si="46"/>
        <v>1.5558533386554143</v>
      </c>
      <c r="U153" s="360">
        <f t="shared" si="46"/>
        <v>64</v>
      </c>
      <c r="V153" s="360">
        <f t="shared" si="46"/>
        <v>70.69000000000003</v>
      </c>
      <c r="W153" s="360">
        <f t="shared" si="46"/>
        <v>6.690000000000026</v>
      </c>
      <c r="X153" s="362">
        <f t="shared" si="46"/>
        <v>1.1045312500000004</v>
      </c>
      <c r="Y153" s="446">
        <f t="shared" si="42"/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12</v>
      </c>
      <c r="G154" s="360">
        <f t="shared" si="46"/>
        <v>13.06</v>
      </c>
      <c r="H154" s="360">
        <f t="shared" si="46"/>
        <v>1.0600000000000005</v>
      </c>
      <c r="I154" s="362">
        <f t="shared" si="46"/>
        <v>1.0883333333333334</v>
      </c>
      <c r="J154" s="360">
        <f t="shared" si="46"/>
        <v>-30.939999999999998</v>
      </c>
      <c r="K154" s="362">
        <f t="shared" si="46"/>
        <v>0.2968181818181818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11.36</v>
      </c>
      <c r="S154" s="360">
        <f t="shared" si="46"/>
        <v>1.700000000000001</v>
      </c>
      <c r="T154" s="362">
        <f t="shared" si="46"/>
        <v>1.1496478873239437</v>
      </c>
      <c r="U154" s="360">
        <f t="shared" si="46"/>
        <v>4</v>
      </c>
      <c r="V154" s="360">
        <f t="shared" si="46"/>
        <v>5.300000000000001</v>
      </c>
      <c r="W154" s="360">
        <f t="shared" si="46"/>
        <v>1.3000000000000007</v>
      </c>
      <c r="X154" s="362">
        <f t="shared" si="46"/>
        <v>1.3250000000000002</v>
      </c>
      <c r="Y154" s="446">
        <f t="shared" si="42"/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8135</v>
      </c>
      <c r="G155" s="351">
        <f t="shared" si="47"/>
        <v>8954.759999999998</v>
      </c>
      <c r="H155" s="351">
        <f t="shared" si="47"/>
        <v>819.7599999999991</v>
      </c>
      <c r="I155" s="189">
        <f>G155/F155</f>
        <v>1.1007695144437613</v>
      </c>
      <c r="J155" s="351">
        <f t="shared" si="47"/>
        <v>-14400.240000000002</v>
      </c>
      <c r="K155" s="189">
        <f>G155/E155</f>
        <v>0.3834193962748875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5261.71</v>
      </c>
      <c r="S155" s="351">
        <f t="shared" si="47"/>
        <v>3693.049999999999</v>
      </c>
      <c r="T155" s="189">
        <f>G155/R155</f>
        <v>1.701872585148174</v>
      </c>
      <c r="U155" s="351">
        <f t="shared" si="47"/>
        <v>1968</v>
      </c>
      <c r="V155" s="351">
        <f t="shared" si="47"/>
        <v>2262.5699999999997</v>
      </c>
      <c r="W155" s="351">
        <f t="shared" si="47"/>
        <v>294.56999999999954</v>
      </c>
      <c r="X155" s="189">
        <f>V155/U155</f>
        <v>1.1496798780487802</v>
      </c>
      <c r="Y155" s="189">
        <f t="shared" si="42"/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2608.65</v>
      </c>
      <c r="G159" s="348">
        <f t="shared" si="48"/>
        <v>2034.03</v>
      </c>
      <c r="H159" s="348">
        <f t="shared" si="48"/>
        <v>-574.6200000000001</v>
      </c>
      <c r="I159" s="347">
        <f t="shared" si="48"/>
        <v>0.7797251451900408</v>
      </c>
      <c r="J159" s="348">
        <f t="shared" si="48"/>
        <v>-6135.97</v>
      </c>
      <c r="K159" s="347">
        <f t="shared" si="48"/>
        <v>0.24896328029375764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3536.21</v>
      </c>
      <c r="S159" s="348">
        <f t="shared" si="48"/>
        <v>-1502.18</v>
      </c>
      <c r="T159" s="347">
        <f t="shared" si="48"/>
        <v>0.5752005678395796</v>
      </c>
      <c r="U159" s="348">
        <f t="shared" si="48"/>
        <v>680</v>
      </c>
      <c r="V159" s="348">
        <f t="shared" si="48"/>
        <v>535.3299999999999</v>
      </c>
      <c r="W159" s="348">
        <f t="shared" si="48"/>
        <v>-144.67000000000007</v>
      </c>
      <c r="X159" s="347">
        <f t="shared" si="48"/>
        <v>0.7872499999999999</v>
      </c>
      <c r="Y159" s="189">
        <f t="shared" si="42"/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20</v>
      </c>
      <c r="G160" s="348">
        <f t="shared" si="49"/>
        <v>0</v>
      </c>
      <c r="H160" s="348">
        <f t="shared" si="49"/>
        <v>-20</v>
      </c>
      <c r="I160" s="347">
        <f t="shared" si="49"/>
        <v>0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54.64</v>
      </c>
      <c r="S160" s="348">
        <f t="shared" si="49"/>
        <v>-54.64</v>
      </c>
      <c r="T160" s="347">
        <f t="shared" si="49"/>
        <v>0</v>
      </c>
      <c r="U160" s="348">
        <f t="shared" si="49"/>
        <v>20</v>
      </c>
      <c r="V160" s="348">
        <f t="shared" si="49"/>
        <v>0</v>
      </c>
      <c r="W160" s="348">
        <f t="shared" si="49"/>
        <v>-20</v>
      </c>
      <c r="X160" s="347">
        <f t="shared" si="49"/>
        <v>0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2628.65</v>
      </c>
      <c r="G161" s="351">
        <f t="shared" si="50"/>
        <v>2034.03</v>
      </c>
      <c r="H161" s="351">
        <f t="shared" si="50"/>
        <v>-594.6200000000001</v>
      </c>
      <c r="I161" s="189">
        <f>G161/F161</f>
        <v>0.7737926311985239</v>
      </c>
      <c r="J161" s="351">
        <f t="shared" si="50"/>
        <v>-6310.37</v>
      </c>
      <c r="K161" s="189">
        <f>G161/E161</f>
        <v>0.24375988687023634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3590.85</v>
      </c>
      <c r="S161" s="351">
        <f t="shared" si="50"/>
        <v>-1556.8200000000002</v>
      </c>
      <c r="T161" s="189">
        <f>G161/R161</f>
        <v>0.5664480554743306</v>
      </c>
      <c r="U161" s="351">
        <f t="shared" si="50"/>
        <v>700</v>
      </c>
      <c r="V161" s="351">
        <f t="shared" si="50"/>
        <v>535.3299999999999</v>
      </c>
      <c r="W161" s="351">
        <f t="shared" si="50"/>
        <v>-164.67000000000007</v>
      </c>
      <c r="X161" s="189">
        <f>V161/U161</f>
        <v>0.7647571428571428</v>
      </c>
      <c r="Y161" s="189">
        <f t="shared" si="42"/>
        <v>-0.44756319727505856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9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95" sqref="G9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491" t="s">
        <v>222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219</v>
      </c>
      <c r="V3" s="502" t="s">
        <v>220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215</v>
      </c>
      <c r="G4" s="487" t="s">
        <v>31</v>
      </c>
      <c r="H4" s="475" t="s">
        <v>216</v>
      </c>
      <c r="I4" s="489" t="s">
        <v>217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223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218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2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52">
        <f t="shared" si="6"/>
        <v>1.570491642040603</v>
      </c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52">
        <f t="shared" si="6"/>
        <v>1.4947585870304227</v>
      </c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465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465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465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465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465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465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f>G38+G40</f>
        <v>13649.69</v>
      </c>
      <c r="H36" s="158">
        <f t="shared" si="9"/>
        <v>-715.539999999999</v>
      </c>
      <c r="I36" s="212">
        <f t="shared" si="12"/>
        <v>0.9501894504995744</v>
      </c>
      <c r="J36" s="176">
        <f t="shared" si="1"/>
        <v>-47040.31</v>
      </c>
      <c r="K36" s="191">
        <f t="shared" si="15"/>
        <v>0.22490838688416545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-785.7499999999982</v>
      </c>
      <c r="T36" s="162">
        <f t="shared" si="14"/>
        <v>0.945567990999928</v>
      </c>
      <c r="U36" s="167">
        <f>F36-лютий!F36</f>
        <v>5139</v>
      </c>
      <c r="V36" s="167">
        <f>G36-лютий!G36</f>
        <v>5529.67</v>
      </c>
      <c r="W36" s="176">
        <f t="shared" si="10"/>
        <v>390.6700000000001</v>
      </c>
      <c r="X36" s="191">
        <f aca="true" t="shared" si="18" ref="X36:X41">V36/U36*100</f>
        <v>107.60206265810469</v>
      </c>
      <c r="Y36" s="197">
        <f t="shared" si="16"/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465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465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465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465">
        <f t="shared" si="16"/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466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465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465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1625.09</v>
      </c>
      <c r="S65" s="115">
        <f t="shared" si="5"/>
        <v>75.48000000000002</v>
      </c>
      <c r="T65" s="155">
        <f t="shared" si="27"/>
        <v>1.0464466583389227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>
        <f>G78-лютий!G78</f>
        <v>0.34</v>
      </c>
      <c r="W78" s="111">
        <f t="shared" si="23"/>
        <v>0.34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469"/>
      <c r="H106" s="469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469"/>
      <c r="H107" s="469"/>
      <c r="I107" s="273"/>
      <c r="J107" s="276"/>
    </row>
    <row r="108" spans="3:10" ht="15">
      <c r="C108" s="271"/>
      <c r="D108" s="4"/>
      <c r="F108" s="278"/>
      <c r="G108" s="470"/>
      <c r="H108" s="470"/>
      <c r="I108" s="279"/>
      <c r="J108" s="274"/>
    </row>
    <row r="109" spans="2:10" ht="16.5">
      <c r="B109" s="471" t="s">
        <v>165</v>
      </c>
      <c r="C109" s="472"/>
      <c r="D109" s="280"/>
      <c r="E109" s="434">
        <f>'[1]залишки'!$G$6/1000</f>
        <v>1.88042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 hidden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477</v>
      </c>
      <c r="G112" s="435">
        <f t="shared" si="36"/>
        <v>490.25</v>
      </c>
      <c r="H112" s="278">
        <f t="shared" si="36"/>
        <v>13.24999999999998</v>
      </c>
      <c r="I112" s="436">
        <f>G112/F112</f>
        <v>1.0277777777777777</v>
      </c>
      <c r="J112" s="278">
        <f t="shared" si="36"/>
        <v>-1604.7500000000002</v>
      </c>
      <c r="K112" s="436">
        <f>G112/E112</f>
        <v>0.23400954653937947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440.15</v>
      </c>
      <c r="S112" s="278">
        <f t="shared" si="36"/>
        <v>50.1</v>
      </c>
      <c r="T112" s="436">
        <f>G112/R112</f>
        <v>1.1138248324434852</v>
      </c>
      <c r="U112" s="278">
        <f t="shared" si="36"/>
        <v>168</v>
      </c>
      <c r="V112" s="288">
        <f t="shared" si="36"/>
        <v>184.67</v>
      </c>
      <c r="W112" s="278">
        <f t="shared" si="36"/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31916.624219999998</v>
      </c>
      <c r="G124" s="295">
        <f t="shared" si="38"/>
        <v>8136.729999999998</v>
      </c>
      <c r="H124" s="295">
        <f t="shared" si="38"/>
        <v>-23779.894220000002</v>
      </c>
      <c r="I124" s="447">
        <f t="shared" si="37"/>
        <v>0.25493704922907406</v>
      </c>
      <c r="J124" s="295">
        <f t="shared" si="38"/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404112.18122</v>
      </c>
      <c r="G125" s="295">
        <f t="shared" si="39"/>
        <v>386757.50999999995</v>
      </c>
      <c r="H125" s="295">
        <f t="shared" si="39"/>
        <v>-17354.67122000008</v>
      </c>
      <c r="I125" s="447">
        <f t="shared" si="37"/>
        <v>0.9570548178785233</v>
      </c>
      <c r="J125" s="295">
        <f t="shared" si="39"/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726198.91122</v>
      </c>
      <c r="G130" s="314">
        <f t="shared" si="40"/>
        <v>386757.50999999995</v>
      </c>
      <c r="H130" s="314">
        <f t="shared" si="40"/>
        <v>-339441.40122000006</v>
      </c>
      <c r="I130" s="449">
        <f t="shared" si="37"/>
        <v>0.532577925998615</v>
      </c>
      <c r="J130" s="314">
        <f t="shared" si="40"/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28</v>
      </c>
      <c r="G140" s="333">
        <f t="shared" si="43"/>
        <v>51.82</v>
      </c>
      <c r="H140" s="333">
        <f t="shared" si="43"/>
        <v>23.82</v>
      </c>
      <c r="I140" s="442">
        <f t="shared" si="43"/>
        <v>1.8507142857142858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72.08</v>
      </c>
      <c r="S140" s="333">
        <f t="shared" si="43"/>
        <v>-20.259999999999998</v>
      </c>
      <c r="T140" s="442">
        <f t="shared" si="43"/>
        <v>0.7189234184239733</v>
      </c>
      <c r="U140" s="333">
        <f t="shared" si="43"/>
        <v>14</v>
      </c>
      <c r="V140" s="333">
        <f t="shared" si="43"/>
        <v>38.59</v>
      </c>
      <c r="W140" s="333">
        <f t="shared" si="43"/>
        <v>24.590000000000003</v>
      </c>
      <c r="X140" s="357">
        <f t="shared" si="43"/>
        <v>2.7564285714285717</v>
      </c>
      <c r="Y140" s="446">
        <f t="shared" si="42"/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4</v>
      </c>
      <c r="G141" s="338">
        <f t="shared" si="43"/>
        <v>2.02</v>
      </c>
      <c r="H141" s="338">
        <f t="shared" si="43"/>
        <v>-1.98</v>
      </c>
      <c r="I141" s="443">
        <f t="shared" si="43"/>
        <v>0.505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148.43</v>
      </c>
      <c r="G142" s="323">
        <f t="shared" si="43"/>
        <v>224.59</v>
      </c>
      <c r="H142" s="323">
        <f t="shared" si="43"/>
        <v>76.16</v>
      </c>
      <c r="I142" s="357">
        <f t="shared" si="43"/>
        <v>1.5131038199824833</v>
      </c>
      <c r="J142" s="323">
        <f t="shared" si="43"/>
        <v>-519.41</v>
      </c>
      <c r="K142" s="357">
        <f t="shared" si="43"/>
        <v>0.3018682795698925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277.76</v>
      </c>
      <c r="S142" s="323">
        <f t="shared" si="43"/>
        <v>-53.16999999999999</v>
      </c>
      <c r="T142" s="357">
        <f t="shared" si="43"/>
        <v>0.8085757488479263</v>
      </c>
      <c r="U142" s="323">
        <f t="shared" si="43"/>
        <v>60</v>
      </c>
      <c r="V142" s="323">
        <f t="shared" si="43"/>
        <v>172.41</v>
      </c>
      <c r="W142" s="323">
        <f t="shared" si="43"/>
        <v>112.41</v>
      </c>
      <c r="X142" s="357">
        <f t="shared" si="43"/>
        <v>2.8735</v>
      </c>
      <c r="Y142" s="446">
        <f t="shared" si="42"/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20</v>
      </c>
      <c r="G143" s="323">
        <f t="shared" si="43"/>
        <v>8.62</v>
      </c>
      <c r="H143" s="323">
        <f t="shared" si="43"/>
        <v>-11.38</v>
      </c>
      <c r="I143" s="357">
        <f t="shared" si="43"/>
        <v>0.43099999999999994</v>
      </c>
      <c r="J143" s="323">
        <f t="shared" si="43"/>
        <v>-106.88</v>
      </c>
      <c r="K143" s="357">
        <f t="shared" si="43"/>
        <v>0.07463203463203462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0.51</v>
      </c>
      <c r="S143" s="323">
        <f t="shared" si="43"/>
        <v>8.11</v>
      </c>
      <c r="T143" s="357">
        <f t="shared" si="43"/>
        <v>16.901960784313722</v>
      </c>
      <c r="U143" s="323">
        <f t="shared" si="43"/>
        <v>10</v>
      </c>
      <c r="V143" s="323">
        <f t="shared" si="43"/>
        <v>20.2</v>
      </c>
      <c r="W143" s="323">
        <f t="shared" si="43"/>
        <v>10.2</v>
      </c>
      <c r="X143" s="357">
        <f t="shared" si="43"/>
        <v>2.02</v>
      </c>
      <c r="Y143" s="446">
        <f t="shared" si="42"/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9.57</v>
      </c>
      <c r="G145" s="345">
        <f t="shared" si="45"/>
        <v>4.74</v>
      </c>
      <c r="H145" s="345">
        <f t="shared" si="45"/>
        <v>-4.83</v>
      </c>
      <c r="I145" s="444">
        <f t="shared" si="45"/>
        <v>0.49529780564263326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14.27</v>
      </c>
      <c r="S145" s="345">
        <f t="shared" si="45"/>
        <v>-9.53</v>
      </c>
      <c r="T145" s="444">
        <f t="shared" si="45"/>
        <v>0.33216538192011213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0.45</v>
      </c>
      <c r="H146" s="345">
        <f t="shared" si="45"/>
        <v>0.45</v>
      </c>
      <c r="I146" s="444" t="e">
        <f t="shared" si="45"/>
        <v>#DIV/0!</v>
      </c>
      <c r="J146" s="345">
        <f t="shared" si="45"/>
        <v>0.45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-5.33</v>
      </c>
      <c r="S146" s="345">
        <f t="shared" si="45"/>
        <v>5.78</v>
      </c>
      <c r="T146" s="444">
        <f t="shared" si="45"/>
        <v>-0.08442776735459663</v>
      </c>
      <c r="U146" s="345">
        <f t="shared" si="45"/>
        <v>0</v>
      </c>
      <c r="V146" s="345">
        <f t="shared" si="45"/>
        <v>0.34</v>
      </c>
      <c r="W146" s="345">
        <f t="shared" si="45"/>
        <v>0.34</v>
      </c>
      <c r="X146" s="444">
        <f t="shared" si="45"/>
        <v>0</v>
      </c>
      <c r="Y146" s="446">
        <f t="shared" si="42"/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231.54</v>
      </c>
      <c r="W147" s="351">
        <f>SUM(W138:W146)</f>
        <v>143.64</v>
      </c>
      <c r="X147" s="189">
        <f>V147/U147</f>
        <v>2.634129692832764</v>
      </c>
      <c r="Y147" s="189">
        <f t="shared" si="42"/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284</v>
      </c>
      <c r="G150" s="323">
        <f t="shared" si="46"/>
        <v>280.33</v>
      </c>
      <c r="H150" s="323">
        <f t="shared" si="46"/>
        <v>-3.670000000000016</v>
      </c>
      <c r="I150" s="357">
        <f t="shared" si="46"/>
        <v>0.9870774647887324</v>
      </c>
      <c r="J150" s="323">
        <f t="shared" si="46"/>
        <v>-1003.6700000000001</v>
      </c>
      <c r="K150" s="357">
        <f t="shared" si="46"/>
        <v>0.21832554517133956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300.95</v>
      </c>
      <c r="S150" s="323">
        <f t="shared" si="46"/>
        <v>-20.620000000000005</v>
      </c>
      <c r="T150" s="357">
        <f t="shared" si="46"/>
        <v>0.9314836351553414</v>
      </c>
      <c r="U150" s="323">
        <f t="shared" si="46"/>
        <v>100</v>
      </c>
      <c r="V150" s="323">
        <f t="shared" si="46"/>
        <v>103.13999999999999</v>
      </c>
      <c r="W150" s="323">
        <f t="shared" si="46"/>
        <v>3.1399999999999864</v>
      </c>
      <c r="X150" s="357">
        <f t="shared" si="46"/>
        <v>1.0313999999999999</v>
      </c>
      <c r="Y150" s="446">
        <f t="shared" si="42"/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5690</v>
      </c>
      <c r="G152" s="360">
        <f t="shared" si="46"/>
        <v>6201.94</v>
      </c>
      <c r="H152" s="360">
        <f t="shared" si="46"/>
        <v>511.9399999999996</v>
      </c>
      <c r="I152" s="362">
        <f t="shared" si="46"/>
        <v>1.0899718804920913</v>
      </c>
      <c r="J152" s="360">
        <f t="shared" si="46"/>
        <v>-15058.060000000001</v>
      </c>
      <c r="K152" s="362">
        <f t="shared" si="46"/>
        <v>0.2917187206020696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3584.94</v>
      </c>
      <c r="S152" s="360">
        <f t="shared" si="46"/>
        <v>2616.9999999999995</v>
      </c>
      <c r="T152" s="362">
        <f t="shared" si="46"/>
        <v>1.729998270542882</v>
      </c>
      <c r="U152" s="360">
        <f t="shared" si="46"/>
        <v>1800</v>
      </c>
      <c r="V152" s="360">
        <f t="shared" si="46"/>
        <v>2246.5199999999995</v>
      </c>
      <c r="W152" s="360">
        <f t="shared" si="46"/>
        <v>446.5199999999995</v>
      </c>
      <c r="X152" s="362">
        <f t="shared" si="46"/>
        <v>1.2480666666666664</v>
      </c>
      <c r="Y152" s="446">
        <f t="shared" si="42"/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185</v>
      </c>
      <c r="G153" s="360">
        <f t="shared" si="46"/>
        <v>202.16</v>
      </c>
      <c r="H153" s="360">
        <f t="shared" si="46"/>
        <v>17.159999999999997</v>
      </c>
      <c r="I153" s="362">
        <f t="shared" si="46"/>
        <v>1.0927567567567567</v>
      </c>
      <c r="J153" s="360">
        <f t="shared" si="46"/>
        <v>-564.84</v>
      </c>
      <c r="K153" s="362">
        <f t="shared" si="46"/>
        <v>0.26357235984354627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135.2</v>
      </c>
      <c r="S153" s="360">
        <f t="shared" si="46"/>
        <v>66.96000000000001</v>
      </c>
      <c r="T153" s="362">
        <f t="shared" si="46"/>
        <v>1.4952662721893493</v>
      </c>
      <c r="U153" s="360">
        <f t="shared" si="46"/>
        <v>64</v>
      </c>
      <c r="V153" s="360">
        <f t="shared" si="46"/>
        <v>80.47</v>
      </c>
      <c r="W153" s="360">
        <f t="shared" si="46"/>
        <v>16.47</v>
      </c>
      <c r="X153" s="362">
        <f t="shared" si="46"/>
        <v>1.25734375</v>
      </c>
      <c r="Y153" s="446">
        <f t="shared" si="42"/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8</v>
      </c>
      <c r="G154" s="360">
        <f t="shared" si="46"/>
        <v>7.76</v>
      </c>
      <c r="H154" s="360">
        <f t="shared" si="46"/>
        <v>-0.2400000000000002</v>
      </c>
      <c r="I154" s="362">
        <f t="shared" si="46"/>
        <v>0.97</v>
      </c>
      <c r="J154" s="360">
        <f t="shared" si="46"/>
        <v>-36.24</v>
      </c>
      <c r="K154" s="362">
        <f t="shared" si="46"/>
        <v>0.17636363636363636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4</v>
      </c>
      <c r="S154" s="360">
        <f t="shared" si="46"/>
        <v>3.76</v>
      </c>
      <c r="T154" s="362">
        <f t="shared" si="46"/>
        <v>1.94</v>
      </c>
      <c r="U154" s="360">
        <f t="shared" si="46"/>
        <v>4</v>
      </c>
      <c r="V154" s="360">
        <f t="shared" si="46"/>
        <v>1.0599999999999996</v>
      </c>
      <c r="W154" s="360">
        <f t="shared" si="46"/>
        <v>-2.9400000000000004</v>
      </c>
      <c r="X154" s="362">
        <f t="shared" si="46"/>
        <v>0.2649999999999999</v>
      </c>
      <c r="Y154" s="446">
        <f t="shared" si="42"/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6167</v>
      </c>
      <c r="G155" s="351">
        <f t="shared" si="47"/>
        <v>6692.19</v>
      </c>
      <c r="H155" s="351">
        <f t="shared" si="47"/>
        <v>525.1899999999996</v>
      </c>
      <c r="I155" s="189">
        <f>G155/F155</f>
        <v>1.085161342630128</v>
      </c>
      <c r="J155" s="351">
        <f t="shared" si="47"/>
        <v>-16662.81</v>
      </c>
      <c r="K155" s="189">
        <f>G155/E155</f>
        <v>0.28654206807964033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4025.0899999999997</v>
      </c>
      <c r="S155" s="351">
        <f t="shared" si="47"/>
        <v>2667.1</v>
      </c>
      <c r="T155" s="189">
        <f>G155/R155</f>
        <v>1.6626187240533752</v>
      </c>
      <c r="U155" s="351">
        <f t="shared" si="47"/>
        <v>1968</v>
      </c>
      <c r="V155" s="351">
        <f t="shared" si="47"/>
        <v>2431.189999999999</v>
      </c>
      <c r="W155" s="351">
        <f t="shared" si="47"/>
        <v>463.18999999999954</v>
      </c>
      <c r="X155" s="189">
        <f>V155/U155</f>
        <v>1.2353607723577231</v>
      </c>
      <c r="Y155" s="189">
        <f t="shared" si="42"/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1928.65</v>
      </c>
      <c r="G159" s="348">
        <f t="shared" si="48"/>
        <v>1498.7</v>
      </c>
      <c r="H159" s="348">
        <f t="shared" si="48"/>
        <v>-429.95000000000005</v>
      </c>
      <c r="I159" s="347">
        <f t="shared" si="48"/>
        <v>0.7770720452129728</v>
      </c>
      <c r="J159" s="348">
        <f t="shared" si="48"/>
        <v>-6671.3</v>
      </c>
      <c r="K159" s="347">
        <f t="shared" si="48"/>
        <v>0.18343941248470014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3075.73</v>
      </c>
      <c r="S159" s="348">
        <f t="shared" si="48"/>
        <v>-1577.03</v>
      </c>
      <c r="T159" s="347">
        <f t="shared" si="48"/>
        <v>0.48726643756116433</v>
      </c>
      <c r="U159" s="348">
        <f t="shared" si="48"/>
        <v>680</v>
      </c>
      <c r="V159" s="348">
        <f t="shared" si="48"/>
        <v>426.54999999999995</v>
      </c>
      <c r="W159" s="348">
        <f t="shared" si="48"/>
        <v>-253.45000000000005</v>
      </c>
      <c r="X159" s="347">
        <f t="shared" si="48"/>
        <v>0.6272794117647058</v>
      </c>
      <c r="Y159" s="189">
        <f t="shared" si="42"/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0</v>
      </c>
      <c r="G160" s="348">
        <f t="shared" si="49"/>
        <v>0</v>
      </c>
      <c r="H160" s="348">
        <f t="shared" si="49"/>
        <v>0</v>
      </c>
      <c r="I160" s="347" t="e">
        <f t="shared" si="49"/>
        <v>#DIV/0!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32.89</v>
      </c>
      <c r="S160" s="348">
        <f t="shared" si="49"/>
        <v>-32.89</v>
      </c>
      <c r="T160" s="347">
        <f t="shared" si="49"/>
        <v>0</v>
      </c>
      <c r="U160" s="348">
        <f t="shared" si="49"/>
        <v>0</v>
      </c>
      <c r="V160" s="348">
        <f t="shared" si="49"/>
        <v>0</v>
      </c>
      <c r="W160" s="348">
        <f t="shared" si="49"/>
        <v>0</v>
      </c>
      <c r="X160" s="347" t="e">
        <f t="shared" si="49"/>
        <v>#DIV/0!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1928.65</v>
      </c>
      <c r="G161" s="351">
        <f t="shared" si="50"/>
        <v>1498.7</v>
      </c>
      <c r="H161" s="351">
        <f t="shared" si="50"/>
        <v>-429.95000000000005</v>
      </c>
      <c r="I161" s="189">
        <f>G161/F161</f>
        <v>0.7770720452129728</v>
      </c>
      <c r="J161" s="351">
        <f t="shared" si="50"/>
        <v>-6845.7</v>
      </c>
      <c r="K161" s="189">
        <f>G161/E161</f>
        <v>0.17960548391735776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3108.62</v>
      </c>
      <c r="S161" s="351">
        <f t="shared" si="50"/>
        <v>-1609.92</v>
      </c>
      <c r="T161" s="189">
        <f>G161/R161</f>
        <v>0.482111033191577</v>
      </c>
      <c r="U161" s="351">
        <f t="shared" si="50"/>
        <v>680</v>
      </c>
      <c r="V161" s="351">
        <f t="shared" si="50"/>
        <v>426.54999999999995</v>
      </c>
      <c r="W161" s="351">
        <f t="shared" si="50"/>
        <v>-253.45000000000005</v>
      </c>
      <c r="X161" s="189">
        <f>V161/U161</f>
        <v>0.6272794117647058</v>
      </c>
      <c r="Y161" s="189">
        <f t="shared" si="42"/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" sqref="L1:Z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26" width="0" style="4" hidden="1" customWidth="1"/>
    <col min="27" max="16384" width="9.125" style="4" customWidth="1"/>
  </cols>
  <sheetData>
    <row r="1" spans="1:25" s="1" customFormat="1" ht="26.25" customHeight="1">
      <c r="A1" s="491" t="s">
        <v>213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131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141</v>
      </c>
      <c r="V3" s="502" t="s">
        <v>136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139</v>
      </c>
      <c r="G4" s="487" t="s">
        <v>31</v>
      </c>
      <c r="H4" s="475" t="s">
        <v>129</v>
      </c>
      <c r="I4" s="489" t="s">
        <v>130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214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209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2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f>G38+G40</f>
        <v>8120.02</v>
      </c>
      <c r="H36" s="158">
        <f t="shared" si="9"/>
        <v>-1106.2099999999991</v>
      </c>
      <c r="I36" s="212">
        <f t="shared" si="12"/>
        <v>0.8801016233065945</v>
      </c>
      <c r="J36" s="176">
        <f t="shared" si="1"/>
        <v>-52569.979999999996</v>
      </c>
      <c r="K36" s="191">
        <f t="shared" si="15"/>
        <v>0.13379502389190973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-739.1899999999987</v>
      </c>
      <c r="T36" s="162">
        <f t="shared" si="14"/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 t="shared" si="10"/>
        <v>-1106.2199999999993</v>
      </c>
      <c r="X36" s="191">
        <f aca="true" t="shared" si="19" ref="X36:X41">V36/U36*100</f>
        <v>78.5574723783679</v>
      </c>
      <c r="Y36" s="197">
        <f t="shared" si="16"/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469"/>
      <c r="H106" s="469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469"/>
      <c r="H107" s="469"/>
      <c r="I107" s="273"/>
      <c r="J107" s="276"/>
    </row>
    <row r="108" spans="3:10" ht="15" hidden="1">
      <c r="C108" s="271"/>
      <c r="D108" s="4"/>
      <c r="F108" s="278"/>
      <c r="G108" s="470"/>
      <c r="H108" s="470"/>
      <c r="I108" s="279"/>
      <c r="J108" s="274"/>
    </row>
    <row r="109" spans="2:10" ht="16.5" hidden="1">
      <c r="B109" s="471" t="s">
        <v>165</v>
      </c>
      <c r="C109" s="472"/>
      <c r="D109" s="280"/>
      <c r="E109" s="434">
        <v>144.8304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 hidden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7" ref="E112:W112">E60+E63+E64</f>
        <v>2095</v>
      </c>
      <c r="F112" s="278">
        <f t="shared" si="37"/>
        <v>309</v>
      </c>
      <c r="G112" s="435">
        <f t="shared" si="37"/>
        <v>305.58</v>
      </c>
      <c r="H112" s="278">
        <f t="shared" si="37"/>
        <v>-3.4200000000000044</v>
      </c>
      <c r="I112" s="436">
        <f>G112/F112</f>
        <v>0.9889320388349514</v>
      </c>
      <c r="J112" s="278">
        <f t="shared" si="37"/>
        <v>-1789.4199999999998</v>
      </c>
      <c r="K112" s="436">
        <f>G112/E112</f>
        <v>0.14586157517899762</v>
      </c>
      <c r="L112" s="278">
        <f t="shared" si="37"/>
        <v>0</v>
      </c>
      <c r="M112" s="278">
        <f t="shared" si="37"/>
        <v>0</v>
      </c>
      <c r="N112" s="278">
        <f t="shared" si="37"/>
        <v>0</v>
      </c>
      <c r="O112" s="278">
        <f t="shared" si="37"/>
        <v>1956.6200000000001</v>
      </c>
      <c r="P112" s="278">
        <f t="shared" si="37"/>
        <v>138.37999999999994</v>
      </c>
      <c r="Q112" s="436">
        <f>E112/O112</f>
        <v>1.0707240036389283</v>
      </c>
      <c r="R112" s="278">
        <f t="shared" si="37"/>
        <v>282.83</v>
      </c>
      <c r="S112" s="278">
        <f t="shared" si="37"/>
        <v>22.75000000000001</v>
      </c>
      <c r="T112" s="436">
        <f>G112/R112</f>
        <v>1.0804370116324293</v>
      </c>
      <c r="U112" s="278">
        <f t="shared" si="37"/>
        <v>161.81</v>
      </c>
      <c r="V112" s="288">
        <f t="shared" si="37"/>
        <v>155.95999999999998</v>
      </c>
      <c r="W112" s="278">
        <f t="shared" si="37"/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8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9" ref="E124:J124">E123+E100</f>
        <v>70687.473</v>
      </c>
      <c r="F124" s="295">
        <f t="shared" si="39"/>
        <v>27904.959</v>
      </c>
      <c r="G124" s="295">
        <f t="shared" si="39"/>
        <v>5868.3499999999985</v>
      </c>
      <c r="H124" s="295">
        <f t="shared" si="39"/>
        <v>-22036.609</v>
      </c>
      <c r="I124" s="447">
        <f t="shared" si="38"/>
        <v>0.2102977467194988</v>
      </c>
      <c r="J124" s="295">
        <f t="shared" si="39"/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40" ref="E125:J125">E101+E123</f>
        <v>1698605.173</v>
      </c>
      <c r="F125" s="295">
        <f t="shared" si="40"/>
        <v>276708.61600000004</v>
      </c>
      <c r="G125" s="295">
        <f t="shared" si="40"/>
        <v>254710.79999999996</v>
      </c>
      <c r="H125" s="295">
        <f t="shared" si="40"/>
        <v>-21997.816000000083</v>
      </c>
      <c r="I125" s="447">
        <f t="shared" si="38"/>
        <v>0.9205018755180356</v>
      </c>
      <c r="J125" s="295">
        <f t="shared" si="40"/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8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8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8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8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1" ref="E130:J130">E125+E126+E129</f>
        <v>3198280.3729999997</v>
      </c>
      <c r="F130" s="314">
        <f t="shared" si="41"/>
        <v>598795.346</v>
      </c>
      <c r="G130" s="314">
        <f t="shared" si="41"/>
        <v>254710.79999999996</v>
      </c>
      <c r="H130" s="314">
        <f t="shared" si="41"/>
        <v>-344084.5460000001</v>
      </c>
      <c r="I130" s="449">
        <f t="shared" si="38"/>
        <v>0.4253720435562636</v>
      </c>
      <c r="J130" s="314">
        <f t="shared" si="41"/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2" ref="E138:X138">E17</f>
        <v>0</v>
      </c>
      <c r="F138" s="323">
        <f t="shared" si="42"/>
        <v>0</v>
      </c>
      <c r="G138" s="323">
        <f t="shared" si="42"/>
        <v>0</v>
      </c>
      <c r="H138" s="323">
        <f t="shared" si="42"/>
        <v>0</v>
      </c>
      <c r="I138" s="357">
        <f t="shared" si="42"/>
        <v>0</v>
      </c>
      <c r="J138" s="323">
        <f t="shared" si="42"/>
        <v>0</v>
      </c>
      <c r="K138" s="357">
        <f t="shared" si="42"/>
        <v>0</v>
      </c>
      <c r="L138" s="323">
        <f t="shared" si="42"/>
        <v>0</v>
      </c>
      <c r="M138" s="323">
        <f t="shared" si="42"/>
        <v>0</v>
      </c>
      <c r="N138" s="323">
        <f t="shared" si="42"/>
        <v>0</v>
      </c>
      <c r="O138" s="323">
        <f t="shared" si="42"/>
        <v>0.49</v>
      </c>
      <c r="P138" s="323">
        <f t="shared" si="42"/>
        <v>-0.49</v>
      </c>
      <c r="Q138" s="357">
        <f t="shared" si="42"/>
        <v>0</v>
      </c>
      <c r="R138" s="323">
        <f t="shared" si="42"/>
        <v>0</v>
      </c>
      <c r="S138" s="323">
        <f t="shared" si="42"/>
        <v>0</v>
      </c>
      <c r="T138" s="357" t="e">
        <f t="shared" si="42"/>
        <v>#DIV/0!</v>
      </c>
      <c r="U138" s="323">
        <f t="shared" si="42"/>
        <v>0</v>
      </c>
      <c r="V138" s="323">
        <f t="shared" si="42"/>
        <v>0</v>
      </c>
      <c r="W138" s="323">
        <f t="shared" si="42"/>
        <v>0</v>
      </c>
      <c r="X138" s="357">
        <f t="shared" si="42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aca="true" t="shared" si="43" ref="E139:X139">E18</f>
        <v>235.6</v>
      </c>
      <c r="F139" s="323">
        <f t="shared" si="43"/>
        <v>120</v>
      </c>
      <c r="G139" s="323">
        <f t="shared" si="43"/>
        <v>194.24</v>
      </c>
      <c r="H139" s="323">
        <f t="shared" si="43"/>
        <v>74.24000000000001</v>
      </c>
      <c r="I139" s="357">
        <f t="shared" si="43"/>
        <v>1.6186666666666667</v>
      </c>
      <c r="J139" s="323">
        <f t="shared" si="43"/>
        <v>-41.359999999999985</v>
      </c>
      <c r="K139" s="357">
        <f t="shared" si="43"/>
        <v>82.44482173174873</v>
      </c>
      <c r="L139" s="323">
        <f t="shared" si="43"/>
        <v>0</v>
      </c>
      <c r="M139" s="323">
        <f t="shared" si="43"/>
        <v>0</v>
      </c>
      <c r="N139" s="323">
        <f t="shared" si="43"/>
        <v>0</v>
      </c>
      <c r="O139" s="323">
        <f t="shared" si="43"/>
        <v>220.59</v>
      </c>
      <c r="P139" s="323">
        <f t="shared" si="43"/>
        <v>15.009999999999991</v>
      </c>
      <c r="Q139" s="357">
        <f t="shared" si="43"/>
        <v>1.0680447889750215</v>
      </c>
      <c r="R139" s="323">
        <f t="shared" si="43"/>
        <v>0</v>
      </c>
      <c r="S139" s="323">
        <f t="shared" si="43"/>
        <v>194.24</v>
      </c>
      <c r="T139" s="357" t="e">
        <f t="shared" si="43"/>
        <v>#DIV/0!</v>
      </c>
      <c r="U139" s="323">
        <f t="shared" si="43"/>
        <v>120</v>
      </c>
      <c r="V139" s="323">
        <f t="shared" si="43"/>
        <v>194.24</v>
      </c>
      <c r="W139" s="323">
        <f t="shared" si="43"/>
        <v>74.24000000000001</v>
      </c>
      <c r="X139" s="357">
        <f t="shared" si="43"/>
        <v>1.6186666666666667</v>
      </c>
      <c r="Y139" s="446" t="e">
        <f aca="true" t="shared" si="44" ref="Y139:Y161">T139-Q139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5" ref="E140:X140">E56</f>
        <v>158</v>
      </c>
      <c r="F140" s="333">
        <f t="shared" si="45"/>
        <v>14</v>
      </c>
      <c r="G140" s="333">
        <f t="shared" si="45"/>
        <v>13.23</v>
      </c>
      <c r="H140" s="333">
        <f t="shared" si="45"/>
        <v>-0.7699999999999996</v>
      </c>
      <c r="I140" s="442">
        <f t="shared" si="45"/>
        <v>0.9450000000000001</v>
      </c>
      <c r="J140" s="333">
        <f t="shared" si="45"/>
        <v>-144.77</v>
      </c>
      <c r="K140" s="442">
        <f t="shared" si="45"/>
        <v>0.08373417721518987</v>
      </c>
      <c r="L140" s="333">
        <f t="shared" si="45"/>
        <v>0</v>
      </c>
      <c r="M140" s="333">
        <f t="shared" si="45"/>
        <v>0</v>
      </c>
      <c r="N140" s="333">
        <f t="shared" si="45"/>
        <v>0</v>
      </c>
      <c r="O140" s="333">
        <f t="shared" si="45"/>
        <v>153.3</v>
      </c>
      <c r="P140" s="333">
        <f t="shared" si="45"/>
        <v>4.699999999999989</v>
      </c>
      <c r="Q140" s="442">
        <f t="shared" si="45"/>
        <v>1.030658838878017</v>
      </c>
      <c r="R140" s="333">
        <f t="shared" si="45"/>
        <v>57.08</v>
      </c>
      <c r="S140" s="333">
        <f t="shared" si="45"/>
        <v>-43.849999999999994</v>
      </c>
      <c r="T140" s="442">
        <f t="shared" si="45"/>
        <v>0.23177995795374914</v>
      </c>
      <c r="U140" s="333">
        <f t="shared" si="45"/>
        <v>14</v>
      </c>
      <c r="V140" s="333">
        <f t="shared" si="45"/>
        <v>13.23</v>
      </c>
      <c r="W140" s="333">
        <f t="shared" si="45"/>
        <v>-0.7699999999999996</v>
      </c>
      <c r="X140" s="357">
        <f t="shared" si="45"/>
        <v>0.9450000000000001</v>
      </c>
      <c r="Y140" s="446">
        <f t="shared" si="44"/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aca="true" t="shared" si="46" ref="E141:X141">E57</f>
        <v>13</v>
      </c>
      <c r="F141" s="338">
        <f t="shared" si="46"/>
        <v>3</v>
      </c>
      <c r="G141" s="338">
        <f t="shared" si="46"/>
        <v>2.02</v>
      </c>
      <c r="H141" s="338">
        <f t="shared" si="46"/>
        <v>-0.98</v>
      </c>
      <c r="I141" s="443">
        <f t="shared" si="46"/>
        <v>0.6733333333333333</v>
      </c>
      <c r="J141" s="338">
        <f t="shared" si="46"/>
        <v>-10.98</v>
      </c>
      <c r="K141" s="443">
        <f t="shared" si="46"/>
        <v>0.1553846153846154</v>
      </c>
      <c r="L141" s="338">
        <f t="shared" si="46"/>
        <v>0</v>
      </c>
      <c r="M141" s="338">
        <f t="shared" si="46"/>
        <v>0</v>
      </c>
      <c r="N141" s="338">
        <f t="shared" si="46"/>
        <v>0</v>
      </c>
      <c r="O141" s="338">
        <f t="shared" si="46"/>
        <v>12.95</v>
      </c>
      <c r="P141" s="338">
        <f t="shared" si="46"/>
        <v>0.05000000000000071</v>
      </c>
      <c r="Q141" s="443">
        <f t="shared" si="46"/>
        <v>1.0038610038610039</v>
      </c>
      <c r="R141" s="338">
        <f t="shared" si="46"/>
        <v>2.03</v>
      </c>
      <c r="S141" s="338">
        <f t="shared" si="46"/>
        <v>-0.009999999999999787</v>
      </c>
      <c r="T141" s="443">
        <f t="shared" si="46"/>
        <v>0</v>
      </c>
      <c r="U141" s="338">
        <f t="shared" si="46"/>
        <v>1</v>
      </c>
      <c r="V141" s="338">
        <f t="shared" si="46"/>
        <v>0</v>
      </c>
      <c r="W141" s="338">
        <f t="shared" si="46"/>
        <v>-1</v>
      </c>
      <c r="X141" s="445">
        <f t="shared" si="46"/>
        <v>0</v>
      </c>
      <c r="Y141" s="446">
        <f t="shared" si="44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aca="true" t="shared" si="47" ref="E142:X142">E58</f>
        <v>744</v>
      </c>
      <c r="F142" s="323">
        <f t="shared" si="47"/>
        <v>88.43</v>
      </c>
      <c r="G142" s="323">
        <f t="shared" si="47"/>
        <v>52.18</v>
      </c>
      <c r="H142" s="323">
        <f t="shared" si="47"/>
        <v>-36.25000000000001</v>
      </c>
      <c r="I142" s="357">
        <f t="shared" si="47"/>
        <v>0.5900712427909081</v>
      </c>
      <c r="J142" s="323">
        <f t="shared" si="47"/>
        <v>-691.82</v>
      </c>
      <c r="K142" s="357">
        <f t="shared" si="47"/>
        <v>0.07013440860215053</v>
      </c>
      <c r="L142" s="323">
        <f t="shared" si="47"/>
        <v>0</v>
      </c>
      <c r="M142" s="323">
        <f t="shared" si="47"/>
        <v>0</v>
      </c>
      <c r="N142" s="323">
        <f t="shared" si="47"/>
        <v>0</v>
      </c>
      <c r="O142" s="323">
        <f t="shared" si="47"/>
        <v>705.31</v>
      </c>
      <c r="P142" s="323">
        <f t="shared" si="47"/>
        <v>38.690000000000055</v>
      </c>
      <c r="Q142" s="357">
        <f t="shared" si="47"/>
        <v>1.0548553118486907</v>
      </c>
      <c r="R142" s="323">
        <f t="shared" si="47"/>
        <v>82.08</v>
      </c>
      <c r="S142" s="323">
        <f t="shared" si="47"/>
        <v>-29.9</v>
      </c>
      <c r="T142" s="357">
        <f t="shared" si="47"/>
        <v>0.6357212475633528</v>
      </c>
      <c r="U142" s="323">
        <f t="shared" si="47"/>
        <v>60.00000000000001</v>
      </c>
      <c r="V142" s="323">
        <f t="shared" si="47"/>
        <v>23.75</v>
      </c>
      <c r="W142" s="323">
        <f t="shared" si="47"/>
        <v>-36.25000000000001</v>
      </c>
      <c r="X142" s="357">
        <f t="shared" si="47"/>
        <v>0.39583333333333326</v>
      </c>
      <c r="Y142" s="446">
        <f t="shared" si="44"/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aca="true" t="shared" si="48" ref="E143:X143">E59</f>
        <v>115.5</v>
      </c>
      <c r="F143" s="323">
        <f t="shared" si="48"/>
        <v>10</v>
      </c>
      <c r="G143" s="323">
        <f t="shared" si="48"/>
        <v>-11.58</v>
      </c>
      <c r="H143" s="323">
        <f t="shared" si="48"/>
        <v>-21.58</v>
      </c>
      <c r="I143" s="357">
        <f t="shared" si="48"/>
        <v>-1.158</v>
      </c>
      <c r="J143" s="323">
        <f t="shared" si="48"/>
        <v>-127.08</v>
      </c>
      <c r="K143" s="357">
        <f t="shared" si="48"/>
        <v>-0.10025974025974026</v>
      </c>
      <c r="L143" s="323">
        <f t="shared" si="48"/>
        <v>0</v>
      </c>
      <c r="M143" s="323">
        <f t="shared" si="48"/>
        <v>0</v>
      </c>
      <c r="N143" s="323">
        <f t="shared" si="48"/>
        <v>0</v>
      </c>
      <c r="O143" s="323">
        <f t="shared" si="48"/>
        <v>114.3</v>
      </c>
      <c r="P143" s="323">
        <f t="shared" si="48"/>
        <v>1.2000000000000028</v>
      </c>
      <c r="Q143" s="357">
        <f t="shared" si="48"/>
        <v>1.010498687664042</v>
      </c>
      <c r="R143" s="323">
        <f t="shared" si="48"/>
        <v>0</v>
      </c>
      <c r="S143" s="323">
        <f t="shared" si="48"/>
        <v>-11.58</v>
      </c>
      <c r="T143" s="357" t="e">
        <f t="shared" si="48"/>
        <v>#DIV/0!</v>
      </c>
      <c r="U143" s="323">
        <f t="shared" si="48"/>
        <v>10</v>
      </c>
      <c r="V143" s="323">
        <f t="shared" si="48"/>
        <v>-5.03</v>
      </c>
      <c r="W143" s="323">
        <f t="shared" si="48"/>
        <v>-15.030000000000001</v>
      </c>
      <c r="X143" s="357">
        <f t="shared" si="48"/>
        <v>-0.503</v>
      </c>
      <c r="Y143" s="446" t="e">
        <f t="shared" si="44"/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9" ref="E144:X144">E71</f>
        <v>3</v>
      </c>
      <c r="F144" s="323">
        <f t="shared" si="49"/>
        <v>1.5</v>
      </c>
      <c r="G144" s="323">
        <f t="shared" si="49"/>
        <v>0</v>
      </c>
      <c r="H144" s="323">
        <f t="shared" si="49"/>
        <v>-1.5</v>
      </c>
      <c r="I144" s="357">
        <f t="shared" si="49"/>
        <v>0</v>
      </c>
      <c r="J144" s="323">
        <f t="shared" si="49"/>
        <v>-3</v>
      </c>
      <c r="K144" s="357">
        <f t="shared" si="49"/>
        <v>0</v>
      </c>
      <c r="L144" s="323">
        <f t="shared" si="49"/>
        <v>0</v>
      </c>
      <c r="M144" s="323">
        <f t="shared" si="49"/>
        <v>0</v>
      </c>
      <c r="N144" s="323">
        <f t="shared" si="49"/>
        <v>0</v>
      </c>
      <c r="O144" s="323">
        <f t="shared" si="49"/>
        <v>2.04</v>
      </c>
      <c r="P144" s="323">
        <f t="shared" si="49"/>
        <v>0.96</v>
      </c>
      <c r="Q144" s="357">
        <f t="shared" si="49"/>
        <v>1.4705882352941175</v>
      </c>
      <c r="R144" s="323">
        <f t="shared" si="49"/>
        <v>1.67</v>
      </c>
      <c r="S144" s="323">
        <f t="shared" si="49"/>
        <v>-1.67</v>
      </c>
      <c r="T144" s="357">
        <f t="shared" si="49"/>
        <v>0</v>
      </c>
      <c r="U144" s="323">
        <f t="shared" si="49"/>
        <v>1.5</v>
      </c>
      <c r="V144" s="323">
        <f t="shared" si="49"/>
        <v>0</v>
      </c>
      <c r="W144" s="323">
        <f t="shared" si="49"/>
        <v>-1.5</v>
      </c>
      <c r="X144" s="357">
        <f t="shared" si="49"/>
        <v>0</v>
      </c>
      <c r="Y144" s="446">
        <f t="shared" si="44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50" ref="E145:X145">E77</f>
        <v>35</v>
      </c>
      <c r="F145" s="345">
        <f t="shared" si="50"/>
        <v>6.67</v>
      </c>
      <c r="G145" s="345">
        <f t="shared" si="50"/>
        <v>4.74</v>
      </c>
      <c r="H145" s="345">
        <f t="shared" si="50"/>
        <v>-1.9299999999999997</v>
      </c>
      <c r="I145" s="444">
        <f t="shared" si="50"/>
        <v>0.7106446776611695</v>
      </c>
      <c r="J145" s="345">
        <f t="shared" si="50"/>
        <v>-30.259999999999998</v>
      </c>
      <c r="K145" s="444">
        <f t="shared" si="50"/>
        <v>0.13542857142857143</v>
      </c>
      <c r="L145" s="345">
        <f t="shared" si="50"/>
        <v>0</v>
      </c>
      <c r="M145" s="345">
        <f t="shared" si="50"/>
        <v>0</v>
      </c>
      <c r="N145" s="345">
        <f t="shared" si="50"/>
        <v>0</v>
      </c>
      <c r="O145" s="345">
        <f t="shared" si="50"/>
        <v>34.22</v>
      </c>
      <c r="P145" s="345">
        <f t="shared" si="50"/>
        <v>0.7800000000000011</v>
      </c>
      <c r="Q145" s="444">
        <f t="shared" si="50"/>
        <v>1.0227936879018118</v>
      </c>
      <c r="R145" s="345">
        <f t="shared" si="50"/>
        <v>8.6</v>
      </c>
      <c r="S145" s="345">
        <f t="shared" si="50"/>
        <v>-3.8599999999999994</v>
      </c>
      <c r="T145" s="444">
        <f t="shared" si="50"/>
        <v>0.5511627906976745</v>
      </c>
      <c r="U145" s="345">
        <f t="shared" si="50"/>
        <v>2.9</v>
      </c>
      <c r="V145" s="345">
        <f t="shared" si="50"/>
        <v>0.9700000000000002</v>
      </c>
      <c r="W145" s="345">
        <f t="shared" si="50"/>
        <v>-1.9299999999999997</v>
      </c>
      <c r="X145" s="444">
        <f t="shared" si="50"/>
        <v>0.3344827586206897</v>
      </c>
      <c r="Y145" s="446">
        <f t="shared" si="44"/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aca="true" t="shared" si="51" ref="E146:X146">E78</f>
        <v>0</v>
      </c>
      <c r="F146" s="345">
        <f t="shared" si="51"/>
        <v>0</v>
      </c>
      <c r="G146" s="345">
        <f t="shared" si="51"/>
        <v>0.11</v>
      </c>
      <c r="H146" s="345">
        <f t="shared" si="51"/>
        <v>0.11</v>
      </c>
      <c r="I146" s="444" t="e">
        <f t="shared" si="51"/>
        <v>#DIV/0!</v>
      </c>
      <c r="J146" s="345">
        <f t="shared" si="51"/>
        <v>0.11</v>
      </c>
      <c r="K146" s="444">
        <f t="shared" si="51"/>
        <v>0</v>
      </c>
      <c r="L146" s="345">
        <f t="shared" si="51"/>
        <v>0</v>
      </c>
      <c r="M146" s="345">
        <f t="shared" si="51"/>
        <v>0</v>
      </c>
      <c r="N146" s="345">
        <f t="shared" si="51"/>
        <v>0</v>
      </c>
      <c r="O146" s="345">
        <f t="shared" si="51"/>
        <v>-4.86</v>
      </c>
      <c r="P146" s="345">
        <f t="shared" si="51"/>
        <v>4.86</v>
      </c>
      <c r="Q146" s="444">
        <f t="shared" si="51"/>
        <v>0</v>
      </c>
      <c r="R146" s="345">
        <f t="shared" si="51"/>
        <v>-5.33</v>
      </c>
      <c r="S146" s="345">
        <f t="shared" si="51"/>
        <v>5.44</v>
      </c>
      <c r="T146" s="444">
        <f t="shared" si="51"/>
        <v>-0.020637898686679174</v>
      </c>
      <c r="U146" s="345">
        <f t="shared" si="51"/>
        <v>0</v>
      </c>
      <c r="V146" s="345">
        <f t="shared" si="51"/>
        <v>0.11</v>
      </c>
      <c r="W146" s="345">
        <f t="shared" si="51"/>
        <v>0.11</v>
      </c>
      <c r="X146" s="444">
        <f t="shared" si="51"/>
        <v>0</v>
      </c>
      <c r="Y146" s="446">
        <f t="shared" si="44"/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 t="shared" si="44"/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52" ref="E150:X150">E60</f>
        <v>1284</v>
      </c>
      <c r="F150" s="323">
        <f t="shared" si="52"/>
        <v>184</v>
      </c>
      <c r="G150" s="323">
        <f t="shared" si="52"/>
        <v>177.19</v>
      </c>
      <c r="H150" s="323">
        <f t="shared" si="52"/>
        <v>-6.810000000000002</v>
      </c>
      <c r="I150" s="357">
        <f t="shared" si="52"/>
        <v>0.9629891304347826</v>
      </c>
      <c r="J150" s="323">
        <f t="shared" si="52"/>
        <v>-1106.81</v>
      </c>
      <c r="K150" s="357">
        <f t="shared" si="52"/>
        <v>0.13799844236760125</v>
      </c>
      <c r="L150" s="323">
        <f t="shared" si="52"/>
        <v>0</v>
      </c>
      <c r="M150" s="323">
        <f t="shared" si="52"/>
        <v>0</v>
      </c>
      <c r="N150" s="323">
        <f t="shared" si="52"/>
        <v>0</v>
      </c>
      <c r="O150" s="323">
        <f t="shared" si="52"/>
        <v>1205.14</v>
      </c>
      <c r="P150" s="323">
        <f t="shared" si="52"/>
        <v>78.8599999999999</v>
      </c>
      <c r="Q150" s="357">
        <f t="shared" si="52"/>
        <v>1.0654363808354215</v>
      </c>
      <c r="R150" s="323">
        <f t="shared" si="52"/>
        <v>192.39</v>
      </c>
      <c r="S150" s="323">
        <f t="shared" si="52"/>
        <v>-15.199999999999989</v>
      </c>
      <c r="T150" s="357">
        <f t="shared" si="52"/>
        <v>0.920993814647331</v>
      </c>
      <c r="U150" s="323">
        <f t="shared" si="52"/>
        <v>94.81</v>
      </c>
      <c r="V150" s="323">
        <f t="shared" si="52"/>
        <v>88</v>
      </c>
      <c r="W150" s="323">
        <f t="shared" si="52"/>
        <v>-6.810000000000002</v>
      </c>
      <c r="X150" s="357">
        <f t="shared" si="52"/>
        <v>0.9281721337411665</v>
      </c>
      <c r="Y150" s="446">
        <f t="shared" si="44"/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aca="true" t="shared" si="53" ref="E151:X151">E61</f>
        <v>0</v>
      </c>
      <c r="F151" s="323">
        <f t="shared" si="53"/>
        <v>0</v>
      </c>
      <c r="G151" s="323">
        <f t="shared" si="53"/>
        <v>0</v>
      </c>
      <c r="H151" s="323">
        <f t="shared" si="53"/>
        <v>0</v>
      </c>
      <c r="I151" s="357" t="e">
        <f t="shared" si="53"/>
        <v>#DIV/0!</v>
      </c>
      <c r="J151" s="323">
        <f t="shared" si="53"/>
        <v>0</v>
      </c>
      <c r="K151" s="357" t="e">
        <f t="shared" si="53"/>
        <v>#DIV/0!</v>
      </c>
      <c r="L151" s="323">
        <f t="shared" si="53"/>
        <v>0</v>
      </c>
      <c r="M151" s="323">
        <f t="shared" si="53"/>
        <v>0</v>
      </c>
      <c r="N151" s="323">
        <f t="shared" si="53"/>
        <v>0</v>
      </c>
      <c r="O151" s="323">
        <f t="shared" si="53"/>
        <v>23.38</v>
      </c>
      <c r="P151" s="323">
        <f t="shared" si="53"/>
        <v>-23.38</v>
      </c>
      <c r="Q151" s="357">
        <f t="shared" si="53"/>
        <v>0</v>
      </c>
      <c r="R151" s="323">
        <f t="shared" si="53"/>
        <v>0</v>
      </c>
      <c r="S151" s="323">
        <f t="shared" si="53"/>
        <v>0</v>
      </c>
      <c r="T151" s="357">
        <f t="shared" si="53"/>
        <v>0</v>
      </c>
      <c r="U151" s="323">
        <f t="shared" si="53"/>
        <v>0</v>
      </c>
      <c r="V151" s="323">
        <f t="shared" si="53"/>
        <v>0</v>
      </c>
      <c r="W151" s="323">
        <f t="shared" si="53"/>
        <v>0</v>
      </c>
      <c r="X151" s="357" t="e">
        <f t="shared" si="53"/>
        <v>#DIV/0!</v>
      </c>
      <c r="Y151" s="446">
        <f t="shared" si="44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aca="true" t="shared" si="54" ref="E152:X152">E62</f>
        <v>21260</v>
      </c>
      <c r="F152" s="360">
        <f t="shared" si="54"/>
        <v>3890</v>
      </c>
      <c r="G152" s="360">
        <f t="shared" si="54"/>
        <v>3955.42</v>
      </c>
      <c r="H152" s="360">
        <f t="shared" si="54"/>
        <v>65.42000000000007</v>
      </c>
      <c r="I152" s="362">
        <f t="shared" si="54"/>
        <v>1.0168174807197943</v>
      </c>
      <c r="J152" s="360">
        <f t="shared" si="54"/>
        <v>-17304.58</v>
      </c>
      <c r="K152" s="362">
        <f t="shared" si="54"/>
        <v>0.18604985888993414</v>
      </c>
      <c r="L152" s="360">
        <f t="shared" si="54"/>
        <v>0</v>
      </c>
      <c r="M152" s="360">
        <f t="shared" si="54"/>
        <v>0</v>
      </c>
      <c r="N152" s="360">
        <f t="shared" si="54"/>
        <v>0</v>
      </c>
      <c r="O152" s="360">
        <f t="shared" si="54"/>
        <v>20110.14</v>
      </c>
      <c r="P152" s="360">
        <f t="shared" si="54"/>
        <v>1149.8600000000006</v>
      </c>
      <c r="Q152" s="362">
        <f t="shared" si="54"/>
        <v>1.0571781200926498</v>
      </c>
      <c r="R152" s="360">
        <f t="shared" si="54"/>
        <v>2143.72</v>
      </c>
      <c r="S152" s="360">
        <f t="shared" si="54"/>
        <v>1811.7000000000003</v>
      </c>
      <c r="T152" s="362">
        <f t="shared" si="54"/>
        <v>1.8451196984680838</v>
      </c>
      <c r="U152" s="360">
        <f t="shared" si="54"/>
        <v>2000</v>
      </c>
      <c r="V152" s="360">
        <f t="shared" si="54"/>
        <v>2061.32</v>
      </c>
      <c r="W152" s="360">
        <f t="shared" si="54"/>
        <v>61.320000000000164</v>
      </c>
      <c r="X152" s="362">
        <f t="shared" si="54"/>
        <v>1.0306600000000001</v>
      </c>
      <c r="Y152" s="446">
        <f t="shared" si="44"/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aca="true" t="shared" si="55" ref="E153:X153">E63</f>
        <v>767</v>
      </c>
      <c r="F153" s="360">
        <f t="shared" si="55"/>
        <v>121</v>
      </c>
      <c r="G153" s="360">
        <f t="shared" si="55"/>
        <v>121.69</v>
      </c>
      <c r="H153" s="360">
        <f t="shared" si="55"/>
        <v>0.6899999999999977</v>
      </c>
      <c r="I153" s="362">
        <f t="shared" si="55"/>
        <v>1.005702479338843</v>
      </c>
      <c r="J153" s="360">
        <f t="shared" si="55"/>
        <v>-645.31</v>
      </c>
      <c r="K153" s="362">
        <f t="shared" si="55"/>
        <v>0.15865710560625815</v>
      </c>
      <c r="L153" s="360">
        <f t="shared" si="55"/>
        <v>0</v>
      </c>
      <c r="M153" s="360">
        <f t="shared" si="55"/>
        <v>0</v>
      </c>
      <c r="N153" s="360">
        <f t="shared" si="55"/>
        <v>0</v>
      </c>
      <c r="O153" s="360">
        <f t="shared" si="55"/>
        <v>710.04</v>
      </c>
      <c r="P153" s="360">
        <f t="shared" si="55"/>
        <v>56.960000000000036</v>
      </c>
      <c r="Q153" s="362">
        <f t="shared" si="55"/>
        <v>1.0802208326291478</v>
      </c>
      <c r="R153" s="360">
        <f t="shared" si="55"/>
        <v>90.44</v>
      </c>
      <c r="S153" s="360">
        <f t="shared" si="55"/>
        <v>31.25</v>
      </c>
      <c r="T153" s="362">
        <f t="shared" si="55"/>
        <v>1.345532950022114</v>
      </c>
      <c r="U153" s="360">
        <f t="shared" si="55"/>
        <v>64</v>
      </c>
      <c r="V153" s="360">
        <f t="shared" si="55"/>
        <v>62.32</v>
      </c>
      <c r="W153" s="360">
        <f t="shared" si="55"/>
        <v>-1.6799999999999997</v>
      </c>
      <c r="X153" s="362">
        <f t="shared" si="55"/>
        <v>0.97375</v>
      </c>
      <c r="Y153" s="446">
        <f t="shared" si="44"/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aca="true" t="shared" si="56" ref="E154:X154">E64</f>
        <v>44</v>
      </c>
      <c r="F154" s="360">
        <f t="shared" si="56"/>
        <v>4</v>
      </c>
      <c r="G154" s="360">
        <f t="shared" si="56"/>
        <v>6.7</v>
      </c>
      <c r="H154" s="360">
        <f t="shared" si="56"/>
        <v>2.7</v>
      </c>
      <c r="I154" s="362">
        <f t="shared" si="56"/>
        <v>1.675</v>
      </c>
      <c r="J154" s="360">
        <f t="shared" si="56"/>
        <v>-37.3</v>
      </c>
      <c r="K154" s="362">
        <f t="shared" si="56"/>
        <v>0.15227272727272728</v>
      </c>
      <c r="L154" s="360">
        <f t="shared" si="56"/>
        <v>0</v>
      </c>
      <c r="M154" s="360">
        <f t="shared" si="56"/>
        <v>0</v>
      </c>
      <c r="N154" s="360">
        <f t="shared" si="56"/>
        <v>0</v>
      </c>
      <c r="O154" s="360">
        <f t="shared" si="56"/>
        <v>41.44</v>
      </c>
      <c r="P154" s="360">
        <f t="shared" si="56"/>
        <v>2.5600000000000023</v>
      </c>
      <c r="Q154" s="362">
        <f t="shared" si="56"/>
        <v>1.0617760617760619</v>
      </c>
      <c r="R154" s="360">
        <f t="shared" si="56"/>
        <v>0</v>
      </c>
      <c r="S154" s="360">
        <f t="shared" si="56"/>
        <v>6.7</v>
      </c>
      <c r="T154" s="362" t="e">
        <f t="shared" si="56"/>
        <v>#DIV/0!</v>
      </c>
      <c r="U154" s="360">
        <f t="shared" si="56"/>
        <v>3</v>
      </c>
      <c r="V154" s="360">
        <f t="shared" si="56"/>
        <v>5.640000000000001</v>
      </c>
      <c r="W154" s="360">
        <f t="shared" si="56"/>
        <v>2.6400000000000006</v>
      </c>
      <c r="X154" s="362">
        <f t="shared" si="56"/>
        <v>1.8800000000000001</v>
      </c>
      <c r="Y154" s="446" t="e">
        <f t="shared" si="44"/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57" ref="E155:W155">SUM(E150:E154)</f>
        <v>23355</v>
      </c>
      <c r="F155" s="351">
        <f t="shared" si="57"/>
        <v>4199</v>
      </c>
      <c r="G155" s="351">
        <f t="shared" si="57"/>
        <v>4260.999999999999</v>
      </c>
      <c r="H155" s="351">
        <f t="shared" si="57"/>
        <v>62.00000000000007</v>
      </c>
      <c r="I155" s="189">
        <f>G155/F155</f>
        <v>1.0147654203381755</v>
      </c>
      <c r="J155" s="351">
        <f t="shared" si="57"/>
        <v>-19094.000000000004</v>
      </c>
      <c r="K155" s="189">
        <f>G155/E155</f>
        <v>0.182444872618283</v>
      </c>
      <c r="L155" s="351">
        <f t="shared" si="57"/>
        <v>0</v>
      </c>
      <c r="M155" s="351">
        <f t="shared" si="57"/>
        <v>0</v>
      </c>
      <c r="N155" s="351">
        <f t="shared" si="57"/>
        <v>0</v>
      </c>
      <c r="O155" s="351">
        <f t="shared" si="57"/>
        <v>22090.14</v>
      </c>
      <c r="P155" s="351">
        <f t="shared" si="57"/>
        <v>1264.8600000000006</v>
      </c>
      <c r="Q155" s="189">
        <f>E155/O155</f>
        <v>1.0572590304995804</v>
      </c>
      <c r="R155" s="351">
        <f t="shared" si="57"/>
        <v>2426.5499999999997</v>
      </c>
      <c r="S155" s="351">
        <f t="shared" si="57"/>
        <v>1834.4500000000003</v>
      </c>
      <c r="T155" s="189">
        <f>G155/R155</f>
        <v>1.7559910160515957</v>
      </c>
      <c r="U155" s="351">
        <f t="shared" si="57"/>
        <v>2161.81</v>
      </c>
      <c r="V155" s="351">
        <f t="shared" si="57"/>
        <v>2217.28</v>
      </c>
      <c r="W155" s="351">
        <f t="shared" si="57"/>
        <v>55.47000000000016</v>
      </c>
      <c r="X155" s="189">
        <f>V155/U155</f>
        <v>1.025659054218456</v>
      </c>
      <c r="Y155" s="189">
        <f t="shared" si="44"/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58" ref="E159:X159">E72</f>
        <v>8170</v>
      </c>
      <c r="F159" s="348">
        <f t="shared" si="58"/>
        <v>1248.65</v>
      </c>
      <c r="G159" s="348">
        <f t="shared" si="58"/>
        <v>1072.15</v>
      </c>
      <c r="H159" s="348">
        <f t="shared" si="58"/>
        <v>-176.5</v>
      </c>
      <c r="I159" s="347">
        <f t="shared" si="58"/>
        <v>0.8586473391262563</v>
      </c>
      <c r="J159" s="348">
        <f t="shared" si="58"/>
        <v>-7097.85</v>
      </c>
      <c r="K159" s="347">
        <f t="shared" si="58"/>
        <v>0.13123011015911873</v>
      </c>
      <c r="L159" s="348">
        <f t="shared" si="58"/>
        <v>0</v>
      </c>
      <c r="M159" s="348">
        <f t="shared" si="58"/>
        <v>0</v>
      </c>
      <c r="N159" s="348">
        <f t="shared" si="58"/>
        <v>0</v>
      </c>
      <c r="O159" s="348">
        <f t="shared" si="58"/>
        <v>8086.92</v>
      </c>
      <c r="P159" s="348">
        <f t="shared" si="58"/>
        <v>83.07999999999993</v>
      </c>
      <c r="Q159" s="347">
        <f t="shared" si="58"/>
        <v>1.0102733797292418</v>
      </c>
      <c r="R159" s="348">
        <f t="shared" si="58"/>
        <v>2711.43</v>
      </c>
      <c r="S159" s="348">
        <f t="shared" si="58"/>
        <v>-1639.2799999999997</v>
      </c>
      <c r="T159" s="347">
        <f t="shared" si="58"/>
        <v>0.3954186536255777</v>
      </c>
      <c r="U159" s="348">
        <f t="shared" si="58"/>
        <v>680.0000000000001</v>
      </c>
      <c r="V159" s="348">
        <f t="shared" si="58"/>
        <v>503.5000000000001</v>
      </c>
      <c r="W159" s="348">
        <f t="shared" si="58"/>
        <v>-176.5</v>
      </c>
      <c r="X159" s="347">
        <f t="shared" si="58"/>
        <v>0.7404411764705883</v>
      </c>
      <c r="Y159" s="189">
        <f t="shared" si="44"/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59" ref="E160:X160">E76</f>
        <v>174.4</v>
      </c>
      <c r="F160" s="348">
        <f t="shared" si="59"/>
        <v>0</v>
      </c>
      <c r="G160" s="348">
        <f t="shared" si="59"/>
        <v>0</v>
      </c>
      <c r="H160" s="348">
        <f t="shared" si="59"/>
        <v>0</v>
      </c>
      <c r="I160" s="347" t="e">
        <f t="shared" si="59"/>
        <v>#DIV/0!</v>
      </c>
      <c r="J160" s="348">
        <f t="shared" si="59"/>
        <v>-174.4</v>
      </c>
      <c r="K160" s="347">
        <f t="shared" si="59"/>
        <v>0</v>
      </c>
      <c r="L160" s="348">
        <f t="shared" si="59"/>
        <v>0</v>
      </c>
      <c r="M160" s="348">
        <f t="shared" si="59"/>
        <v>0</v>
      </c>
      <c r="N160" s="348">
        <f t="shared" si="59"/>
        <v>0</v>
      </c>
      <c r="O160" s="348">
        <f t="shared" si="59"/>
        <v>142.18</v>
      </c>
      <c r="P160" s="348">
        <f t="shared" si="59"/>
        <v>32.22</v>
      </c>
      <c r="Q160" s="347">
        <f t="shared" si="59"/>
        <v>1.2266141510761006</v>
      </c>
      <c r="R160" s="348">
        <f t="shared" si="59"/>
        <v>32.89</v>
      </c>
      <c r="S160" s="348">
        <f t="shared" si="59"/>
        <v>-32.89</v>
      </c>
      <c r="T160" s="347">
        <f t="shared" si="59"/>
        <v>0</v>
      </c>
      <c r="U160" s="348">
        <f t="shared" si="59"/>
        <v>0</v>
      </c>
      <c r="V160" s="348">
        <f t="shared" si="59"/>
        <v>0</v>
      </c>
      <c r="W160" s="348">
        <f t="shared" si="59"/>
        <v>0</v>
      </c>
      <c r="X160" s="347" t="e">
        <f t="shared" si="59"/>
        <v>#DIV/0!</v>
      </c>
      <c r="Y160" s="189">
        <f t="shared" si="44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60" ref="E161:W161">SUM(E159:E160)</f>
        <v>8344.4</v>
      </c>
      <c r="F161" s="351">
        <f t="shared" si="60"/>
        <v>1248.65</v>
      </c>
      <c r="G161" s="351">
        <f t="shared" si="60"/>
        <v>1072.15</v>
      </c>
      <c r="H161" s="351">
        <f t="shared" si="60"/>
        <v>-176.5</v>
      </c>
      <c r="I161" s="189">
        <f>G161/F161</f>
        <v>0.8586473391262563</v>
      </c>
      <c r="J161" s="351">
        <f t="shared" si="60"/>
        <v>-7272.25</v>
      </c>
      <c r="K161" s="189">
        <f>G161/E161</f>
        <v>0.12848736877426778</v>
      </c>
      <c r="L161" s="351">
        <f t="shared" si="60"/>
        <v>0</v>
      </c>
      <c r="M161" s="351">
        <f t="shared" si="60"/>
        <v>0</v>
      </c>
      <c r="N161" s="351">
        <f t="shared" si="60"/>
        <v>0</v>
      </c>
      <c r="O161" s="351">
        <f t="shared" si="60"/>
        <v>8229.1</v>
      </c>
      <c r="P161" s="351">
        <f t="shared" si="60"/>
        <v>115.29999999999993</v>
      </c>
      <c r="Q161" s="189">
        <f>E161/O161</f>
        <v>1.0140112527493892</v>
      </c>
      <c r="R161" s="351">
        <f t="shared" si="60"/>
        <v>2744.3199999999997</v>
      </c>
      <c r="S161" s="351">
        <f t="shared" si="60"/>
        <v>-1672.1699999999998</v>
      </c>
      <c r="T161" s="189">
        <f>G161/R161</f>
        <v>0.3906796583488807</v>
      </c>
      <c r="U161" s="351">
        <f t="shared" si="60"/>
        <v>680.0000000000001</v>
      </c>
      <c r="V161" s="351">
        <f t="shared" si="60"/>
        <v>503.5000000000001</v>
      </c>
      <c r="W161" s="351">
        <f t="shared" si="60"/>
        <v>-176.5</v>
      </c>
      <c r="X161" s="189">
        <f>V161/U161</f>
        <v>0.7404411764705883</v>
      </c>
      <c r="Y161" s="189">
        <f t="shared" si="44"/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X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491" t="s">
        <v>128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506" t="s">
        <v>131</v>
      </c>
      <c r="E3" s="497" t="s">
        <v>131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140</v>
      </c>
      <c r="V3" s="502" t="s">
        <v>124</v>
      </c>
      <c r="W3" s="502"/>
      <c r="X3" s="502"/>
      <c r="Y3" s="194"/>
    </row>
    <row r="4" spans="1:24" ht="22.5" customHeight="1">
      <c r="A4" s="493"/>
      <c r="B4" s="495"/>
      <c r="C4" s="496"/>
      <c r="D4" s="507"/>
      <c r="E4" s="497"/>
      <c r="F4" s="485" t="s">
        <v>138</v>
      </c>
      <c r="G4" s="487" t="s">
        <v>31</v>
      </c>
      <c r="H4" s="475" t="s">
        <v>122</v>
      </c>
      <c r="I4" s="489" t="s">
        <v>123</v>
      </c>
      <c r="J4" s="475" t="s">
        <v>132</v>
      </c>
      <c r="K4" s="489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137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508"/>
      <c r="E5" s="497"/>
      <c r="F5" s="486"/>
      <c r="G5" s="488"/>
      <c r="H5" s="476"/>
      <c r="I5" s="490"/>
      <c r="J5" s="476"/>
      <c r="K5" s="490"/>
      <c r="L5" s="478" t="s">
        <v>109</v>
      </c>
      <c r="M5" s="479"/>
      <c r="N5" s="480"/>
      <c r="O5" s="503" t="s">
        <v>125</v>
      </c>
      <c r="P5" s="504"/>
      <c r="Q5" s="505"/>
      <c r="R5" s="484" t="s">
        <v>127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2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469"/>
      <c r="H106" s="469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469"/>
      <c r="H107" s="469"/>
      <c r="I107" s="273"/>
      <c r="J107" s="276"/>
      <c r="Y107" s="199"/>
    </row>
    <row r="108" spans="3:25" ht="15">
      <c r="C108" s="271"/>
      <c r="D108" s="4"/>
      <c r="F108" s="278"/>
      <c r="G108" s="470"/>
      <c r="H108" s="470"/>
      <c r="I108" s="279"/>
      <c r="J108" s="274"/>
      <c r="Y108" s="199"/>
    </row>
    <row r="109" spans="2:25" ht="16.5">
      <c r="B109" s="471" t="s">
        <v>165</v>
      </c>
      <c r="C109" s="471"/>
      <c r="D109" s="280"/>
      <c r="E109" s="280">
        <f>3396166.95/1000</f>
        <v>3396.1669500000003</v>
      </c>
      <c r="F109" s="282" t="s">
        <v>166</v>
      </c>
      <c r="G109" s="469"/>
      <c r="H109" s="469"/>
      <c r="I109" s="283"/>
      <c r="J109" s="274"/>
      <c r="Y109" s="199"/>
    </row>
    <row r="110" spans="4:25" ht="15">
      <c r="D110" s="4"/>
      <c r="F110" s="278"/>
      <c r="G110" s="469"/>
      <c r="H110" s="469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 aca="true" t="shared" si="50" ref="E136:X136">E17</f>
        <v>0</v>
      </c>
      <c r="F136" s="323">
        <f t="shared" si="50"/>
        <v>0</v>
      </c>
      <c r="G136" s="324">
        <f t="shared" si="50"/>
        <v>0</v>
      </c>
      <c r="H136" s="323">
        <f t="shared" si="50"/>
        <v>0</v>
      </c>
      <c r="I136" s="357">
        <f t="shared" si="50"/>
        <v>0</v>
      </c>
      <c r="J136" s="323">
        <f t="shared" si="50"/>
        <v>0</v>
      </c>
      <c r="K136" s="357">
        <f t="shared" si="50"/>
        <v>0</v>
      </c>
      <c r="L136" s="323">
        <f t="shared" si="50"/>
        <v>0</v>
      </c>
      <c r="M136" s="323">
        <f t="shared" si="50"/>
        <v>0</v>
      </c>
      <c r="N136" s="323">
        <f t="shared" si="50"/>
        <v>0</v>
      </c>
      <c r="O136" s="323">
        <f t="shared" si="50"/>
        <v>0.49</v>
      </c>
      <c r="P136" s="323">
        <f t="shared" si="50"/>
        <v>-0.49</v>
      </c>
      <c r="Q136" s="357">
        <f t="shared" si="50"/>
        <v>0</v>
      </c>
      <c r="R136" s="323">
        <f t="shared" si="50"/>
        <v>0</v>
      </c>
      <c r="S136" s="323">
        <f t="shared" si="50"/>
        <v>0</v>
      </c>
      <c r="T136" s="357" t="e">
        <f t="shared" si="50"/>
        <v>#DIV/0!</v>
      </c>
      <c r="U136" s="323">
        <f t="shared" si="50"/>
        <v>0</v>
      </c>
      <c r="V136" s="323">
        <f t="shared" si="50"/>
        <v>0</v>
      </c>
      <c r="W136" s="323">
        <f t="shared" si="50"/>
        <v>0</v>
      </c>
      <c r="X136" s="357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 aca="true" t="shared" si="52" ref="E137:X137">E18</f>
        <v>235.6</v>
      </c>
      <c r="F137" s="323">
        <f t="shared" si="52"/>
        <v>0</v>
      </c>
      <c r="G137" s="324">
        <f t="shared" si="52"/>
        <v>0</v>
      </c>
      <c r="H137" s="323">
        <f t="shared" si="52"/>
        <v>0</v>
      </c>
      <c r="I137" s="357" t="e">
        <f t="shared" si="52"/>
        <v>#DIV/0!</v>
      </c>
      <c r="J137" s="323">
        <f t="shared" si="52"/>
        <v>-235.6</v>
      </c>
      <c r="K137" s="357">
        <f t="shared" si="52"/>
        <v>0</v>
      </c>
      <c r="L137" s="323">
        <f t="shared" si="52"/>
        <v>0</v>
      </c>
      <c r="M137" s="323">
        <f t="shared" si="52"/>
        <v>0</v>
      </c>
      <c r="N137" s="323">
        <f t="shared" si="52"/>
        <v>0</v>
      </c>
      <c r="O137" s="323">
        <f t="shared" si="52"/>
        <v>220.59</v>
      </c>
      <c r="P137" s="323">
        <f t="shared" si="52"/>
        <v>15.009999999999991</v>
      </c>
      <c r="Q137" s="357">
        <f t="shared" si="52"/>
        <v>1.0680447889750215</v>
      </c>
      <c r="R137" s="323">
        <f t="shared" si="52"/>
        <v>0</v>
      </c>
      <c r="S137" s="323">
        <f t="shared" si="52"/>
        <v>0</v>
      </c>
      <c r="T137" s="357" t="e">
        <f t="shared" si="52"/>
        <v>#DIV/0!</v>
      </c>
      <c r="U137" s="323">
        <f t="shared" si="52"/>
        <v>0</v>
      </c>
      <c r="V137" s="323">
        <f t="shared" si="52"/>
        <v>0</v>
      </c>
      <c r="W137" s="323">
        <f t="shared" si="52"/>
        <v>0</v>
      </c>
      <c r="X137" s="357" t="e">
        <f t="shared" si="52"/>
        <v>#DIV/0!</v>
      </c>
      <c r="Y137" s="199" t="e">
        <f t="shared" si="51"/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 aca="true" t="shared" si="53" ref="E138:X138">E56</f>
        <v>158</v>
      </c>
      <c r="F138" s="333">
        <f t="shared" si="53"/>
        <v>0</v>
      </c>
      <c r="G138" s="334">
        <f t="shared" si="53"/>
        <v>0</v>
      </c>
      <c r="H138" s="333">
        <f t="shared" si="53"/>
        <v>0</v>
      </c>
      <c r="I138" s="442" t="e">
        <f t="shared" si="53"/>
        <v>#DIV/0!</v>
      </c>
      <c r="J138" s="333">
        <f t="shared" si="53"/>
        <v>-158</v>
      </c>
      <c r="K138" s="442">
        <f t="shared" si="53"/>
        <v>0</v>
      </c>
      <c r="L138" s="333">
        <f t="shared" si="53"/>
        <v>0</v>
      </c>
      <c r="M138" s="333">
        <f t="shared" si="53"/>
        <v>0</v>
      </c>
      <c r="N138" s="333">
        <f t="shared" si="53"/>
        <v>0</v>
      </c>
      <c r="O138" s="333">
        <f t="shared" si="53"/>
        <v>153.3</v>
      </c>
      <c r="P138" s="333">
        <f t="shared" si="53"/>
        <v>4.699999999999989</v>
      </c>
      <c r="Q138" s="442">
        <f t="shared" si="53"/>
        <v>1.030658838878017</v>
      </c>
      <c r="R138" s="333">
        <f t="shared" si="53"/>
        <v>14.87</v>
      </c>
      <c r="S138" s="333">
        <f t="shared" si="53"/>
        <v>-14.87</v>
      </c>
      <c r="T138" s="442">
        <f t="shared" si="53"/>
        <v>0</v>
      </c>
      <c r="U138" s="333">
        <f t="shared" si="53"/>
        <v>0</v>
      </c>
      <c r="V138" s="333">
        <f t="shared" si="53"/>
        <v>0</v>
      </c>
      <c r="W138" s="333">
        <f t="shared" si="53"/>
        <v>0</v>
      </c>
      <c r="X138" s="357" t="e">
        <f t="shared" si="53"/>
        <v>#DIV/0!</v>
      </c>
      <c r="Y138" s="199">
        <f t="shared" si="51"/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 aca="true" t="shared" si="54" ref="E139:X139">E57</f>
        <v>13</v>
      </c>
      <c r="F139" s="338">
        <f t="shared" si="54"/>
        <v>2</v>
      </c>
      <c r="G139" s="339">
        <f t="shared" si="54"/>
        <v>2.02</v>
      </c>
      <c r="H139" s="338">
        <f t="shared" si="54"/>
        <v>0.020000000000000018</v>
      </c>
      <c r="I139" s="443">
        <f t="shared" si="54"/>
        <v>1.01</v>
      </c>
      <c r="J139" s="338">
        <f t="shared" si="54"/>
        <v>-10.98</v>
      </c>
      <c r="K139" s="443">
        <f t="shared" si="54"/>
        <v>0.1553846153846154</v>
      </c>
      <c r="L139" s="338">
        <f t="shared" si="54"/>
        <v>0</v>
      </c>
      <c r="M139" s="338">
        <f t="shared" si="54"/>
        <v>0</v>
      </c>
      <c r="N139" s="338">
        <f t="shared" si="54"/>
        <v>0</v>
      </c>
      <c r="O139" s="338">
        <f t="shared" si="54"/>
        <v>12.95</v>
      </c>
      <c r="P139" s="338">
        <f t="shared" si="54"/>
        <v>0.05000000000000071</v>
      </c>
      <c r="Q139" s="443">
        <f t="shared" si="54"/>
        <v>1.0038610038610039</v>
      </c>
      <c r="R139" s="338">
        <f t="shared" si="54"/>
        <v>0</v>
      </c>
      <c r="S139" s="338">
        <f t="shared" si="54"/>
        <v>2.02</v>
      </c>
      <c r="T139" s="443">
        <f t="shared" si="54"/>
        <v>0</v>
      </c>
      <c r="U139" s="338">
        <f t="shared" si="54"/>
        <v>2</v>
      </c>
      <c r="V139" s="338">
        <f t="shared" si="54"/>
        <v>2.02</v>
      </c>
      <c r="W139" s="338">
        <f t="shared" si="54"/>
        <v>0.020000000000000018</v>
      </c>
      <c r="X139" s="445">
        <f t="shared" si="54"/>
        <v>1.01</v>
      </c>
      <c r="Y139" s="199">
        <f t="shared" si="51"/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 aca="true" t="shared" si="55" ref="E140:X140">E58</f>
        <v>744</v>
      </c>
      <c r="F140" s="323">
        <f t="shared" si="55"/>
        <v>28.43</v>
      </c>
      <c r="G140" s="324">
        <f t="shared" si="55"/>
        <v>28.43</v>
      </c>
      <c r="H140" s="323">
        <f t="shared" si="55"/>
        <v>0</v>
      </c>
      <c r="I140" s="357">
        <f t="shared" si="55"/>
        <v>1</v>
      </c>
      <c r="J140" s="323">
        <f t="shared" si="55"/>
        <v>-715.57</v>
      </c>
      <c r="K140" s="357">
        <f t="shared" si="55"/>
        <v>0.03821236559139785</v>
      </c>
      <c r="L140" s="323">
        <f t="shared" si="55"/>
        <v>0</v>
      </c>
      <c r="M140" s="323">
        <f t="shared" si="55"/>
        <v>0</v>
      </c>
      <c r="N140" s="323">
        <f t="shared" si="55"/>
        <v>0</v>
      </c>
      <c r="O140" s="323">
        <f t="shared" si="55"/>
        <v>705.31</v>
      </c>
      <c r="P140" s="323">
        <f t="shared" si="55"/>
        <v>38.690000000000055</v>
      </c>
      <c r="Q140" s="357">
        <f t="shared" si="55"/>
        <v>1.0548553118486907</v>
      </c>
      <c r="R140" s="323">
        <f t="shared" si="55"/>
        <v>11.17</v>
      </c>
      <c r="S140" s="323">
        <f t="shared" si="55"/>
        <v>17.259999999999998</v>
      </c>
      <c r="T140" s="357">
        <f t="shared" si="55"/>
        <v>2.5452103849597134</v>
      </c>
      <c r="U140" s="323">
        <f t="shared" si="55"/>
        <v>28.43</v>
      </c>
      <c r="V140" s="323">
        <f t="shared" si="55"/>
        <v>28.43</v>
      </c>
      <c r="W140" s="323">
        <f t="shared" si="55"/>
        <v>0</v>
      </c>
      <c r="X140" s="357">
        <f t="shared" si="55"/>
        <v>1</v>
      </c>
      <c r="Y140" s="199">
        <f t="shared" si="51"/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 aca="true" t="shared" si="56" ref="E141:X141">E59</f>
        <v>115.5</v>
      </c>
      <c r="F141" s="323">
        <f t="shared" si="56"/>
        <v>0</v>
      </c>
      <c r="G141" s="324">
        <f t="shared" si="56"/>
        <v>-6.55</v>
      </c>
      <c r="H141" s="323">
        <f t="shared" si="56"/>
        <v>-6.55</v>
      </c>
      <c r="I141" s="357" t="e">
        <f t="shared" si="56"/>
        <v>#DIV/0!</v>
      </c>
      <c r="J141" s="323">
        <f t="shared" si="56"/>
        <v>-122.05</v>
      </c>
      <c r="K141" s="357">
        <f t="shared" si="56"/>
        <v>-0.05670995670995671</v>
      </c>
      <c r="L141" s="323">
        <f t="shared" si="56"/>
        <v>0</v>
      </c>
      <c r="M141" s="323">
        <f t="shared" si="56"/>
        <v>0</v>
      </c>
      <c r="N141" s="323">
        <f t="shared" si="56"/>
        <v>0</v>
      </c>
      <c r="O141" s="323">
        <f t="shared" si="56"/>
        <v>114.3</v>
      </c>
      <c r="P141" s="323">
        <f t="shared" si="56"/>
        <v>1.2000000000000028</v>
      </c>
      <c r="Q141" s="357">
        <f t="shared" si="56"/>
        <v>1.010498687664042</v>
      </c>
      <c r="R141" s="323">
        <f t="shared" si="56"/>
        <v>0</v>
      </c>
      <c r="S141" s="323">
        <f t="shared" si="56"/>
        <v>-6.55</v>
      </c>
      <c r="T141" s="357" t="e">
        <f t="shared" si="56"/>
        <v>#DIV/0!</v>
      </c>
      <c r="U141" s="323">
        <f t="shared" si="56"/>
        <v>0</v>
      </c>
      <c r="V141" s="323">
        <f t="shared" si="56"/>
        <v>-6.55</v>
      </c>
      <c r="W141" s="323">
        <f t="shared" si="56"/>
        <v>-6.55</v>
      </c>
      <c r="X141" s="357" t="e">
        <f t="shared" si="56"/>
        <v>#DIV/0!</v>
      </c>
      <c r="Y141" s="199" t="e">
        <f t="shared" si="51"/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 aca="true" t="shared" si="57" ref="E142:X142">E71</f>
        <v>3</v>
      </c>
      <c r="F142" s="323">
        <f t="shared" si="57"/>
        <v>0</v>
      </c>
      <c r="G142" s="324">
        <f t="shared" si="57"/>
        <v>0</v>
      </c>
      <c r="H142" s="323">
        <f t="shared" si="57"/>
        <v>0</v>
      </c>
      <c r="I142" s="357" t="e">
        <f t="shared" si="57"/>
        <v>#DIV/0!</v>
      </c>
      <c r="J142" s="323">
        <f t="shared" si="57"/>
        <v>-3</v>
      </c>
      <c r="K142" s="357">
        <f t="shared" si="57"/>
        <v>0</v>
      </c>
      <c r="L142" s="323">
        <f t="shared" si="57"/>
        <v>0</v>
      </c>
      <c r="M142" s="323">
        <f t="shared" si="57"/>
        <v>0</v>
      </c>
      <c r="N142" s="323">
        <f t="shared" si="57"/>
        <v>0</v>
      </c>
      <c r="O142" s="323">
        <f t="shared" si="57"/>
        <v>2.04</v>
      </c>
      <c r="P142" s="323">
        <f t="shared" si="57"/>
        <v>0.96</v>
      </c>
      <c r="Q142" s="357">
        <f t="shared" si="57"/>
        <v>1.4705882352941175</v>
      </c>
      <c r="R142" s="323">
        <f t="shared" si="57"/>
        <v>1.67</v>
      </c>
      <c r="S142" s="323">
        <f t="shared" si="57"/>
        <v>-1.67</v>
      </c>
      <c r="T142" s="357">
        <f t="shared" si="57"/>
        <v>0</v>
      </c>
      <c r="U142" s="323">
        <f t="shared" si="57"/>
        <v>0</v>
      </c>
      <c r="V142" s="323">
        <f t="shared" si="57"/>
        <v>0</v>
      </c>
      <c r="W142" s="323">
        <f t="shared" si="57"/>
        <v>0</v>
      </c>
      <c r="X142" s="357">
        <f t="shared" si="57"/>
        <v>0</v>
      </c>
      <c r="Y142" s="199">
        <f t="shared" si="51"/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 aca="true" t="shared" si="58" ref="E143:X143">E77</f>
        <v>35</v>
      </c>
      <c r="F143" s="345">
        <f t="shared" si="58"/>
        <v>3.77</v>
      </c>
      <c r="G143" s="346">
        <f t="shared" si="58"/>
        <v>3.77</v>
      </c>
      <c r="H143" s="345">
        <f t="shared" si="58"/>
        <v>0</v>
      </c>
      <c r="I143" s="444">
        <f t="shared" si="58"/>
        <v>1</v>
      </c>
      <c r="J143" s="345">
        <f t="shared" si="58"/>
        <v>-31.23</v>
      </c>
      <c r="K143" s="444">
        <f t="shared" si="58"/>
        <v>0.10771428571428572</v>
      </c>
      <c r="L143" s="345">
        <f t="shared" si="58"/>
        <v>0</v>
      </c>
      <c r="M143" s="345">
        <f t="shared" si="58"/>
        <v>0</v>
      </c>
      <c r="N143" s="345">
        <f t="shared" si="58"/>
        <v>0</v>
      </c>
      <c r="O143" s="345">
        <f t="shared" si="58"/>
        <v>34.22</v>
      </c>
      <c r="P143" s="345">
        <f t="shared" si="58"/>
        <v>0.7800000000000011</v>
      </c>
      <c r="Q143" s="444">
        <f t="shared" si="58"/>
        <v>1.0227936879018118</v>
      </c>
      <c r="R143" s="345">
        <f t="shared" si="58"/>
        <v>1.49</v>
      </c>
      <c r="S143" s="345">
        <f t="shared" si="58"/>
        <v>2.2800000000000002</v>
      </c>
      <c r="T143" s="444">
        <f t="shared" si="58"/>
        <v>2.530201342281879</v>
      </c>
      <c r="U143" s="345">
        <f t="shared" si="58"/>
        <v>3.77</v>
      </c>
      <c r="V143" s="345">
        <f t="shared" si="58"/>
        <v>3.77</v>
      </c>
      <c r="W143" s="345">
        <f t="shared" si="58"/>
        <v>0</v>
      </c>
      <c r="X143" s="444">
        <f t="shared" si="58"/>
        <v>1</v>
      </c>
      <c r="Y143" s="199">
        <f t="shared" si="51"/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 aca="true" t="shared" si="59" ref="E144:X144">E78</f>
        <v>0</v>
      </c>
      <c r="F144" s="345">
        <f t="shared" si="59"/>
        <v>0</v>
      </c>
      <c r="G144" s="346">
        <f t="shared" si="59"/>
        <v>0</v>
      </c>
      <c r="H144" s="345">
        <f t="shared" si="59"/>
        <v>0</v>
      </c>
      <c r="I144" s="444" t="e">
        <f t="shared" si="59"/>
        <v>#DIV/0!</v>
      </c>
      <c r="J144" s="345">
        <f t="shared" si="59"/>
        <v>0</v>
      </c>
      <c r="K144" s="444">
        <f t="shared" si="59"/>
        <v>0</v>
      </c>
      <c r="L144" s="345">
        <f t="shared" si="59"/>
        <v>0</v>
      </c>
      <c r="M144" s="345">
        <f t="shared" si="59"/>
        <v>0</v>
      </c>
      <c r="N144" s="345">
        <f t="shared" si="59"/>
        <v>0</v>
      </c>
      <c r="O144" s="345">
        <f t="shared" si="59"/>
        <v>-4.86</v>
      </c>
      <c r="P144" s="345">
        <f t="shared" si="59"/>
        <v>4.86</v>
      </c>
      <c r="Q144" s="444">
        <f t="shared" si="59"/>
        <v>0</v>
      </c>
      <c r="R144" s="345">
        <f t="shared" si="59"/>
        <v>0</v>
      </c>
      <c r="S144" s="345">
        <f t="shared" si="59"/>
        <v>0</v>
      </c>
      <c r="T144" s="444" t="e">
        <f t="shared" si="59"/>
        <v>#DIV/0!</v>
      </c>
      <c r="U144" s="345">
        <f t="shared" si="59"/>
        <v>0</v>
      </c>
      <c r="V144" s="345">
        <f t="shared" si="59"/>
        <v>0</v>
      </c>
      <c r="W144" s="345">
        <f t="shared" si="59"/>
        <v>0</v>
      </c>
      <c r="X144" s="444">
        <f t="shared" si="59"/>
        <v>0</v>
      </c>
      <c r="Y144" s="199" t="e">
        <f t="shared" si="51"/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 aca="true" t="shared" si="60" ref="J145:P145">SUM(J136:J144)</f>
        <v>-1276.43</v>
      </c>
      <c r="K145" s="189">
        <f t="shared" si="60"/>
        <v>0.24460130998034224</v>
      </c>
      <c r="L145" s="351">
        <f t="shared" si="60"/>
        <v>0</v>
      </c>
      <c r="M145" s="351">
        <f t="shared" si="60"/>
        <v>0</v>
      </c>
      <c r="N145" s="351">
        <f t="shared" si="60"/>
        <v>0</v>
      </c>
      <c r="O145" s="351">
        <f t="shared" si="60"/>
        <v>1238.34</v>
      </c>
      <c r="P145" s="351">
        <f t="shared" si="60"/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54" t="s">
        <v>183</v>
      </c>
      <c r="D147" s="4"/>
      <c r="F147" s="78"/>
      <c r="G147" s="4"/>
      <c r="Y147" s="199">
        <f t="shared" si="51"/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 aca="true" t="shared" si="61" ref="E148:X148">E60</f>
        <v>1284</v>
      </c>
      <c r="F148" s="323">
        <f t="shared" si="61"/>
        <v>89.19</v>
      </c>
      <c r="G148" s="323">
        <f t="shared" si="61"/>
        <v>89.19</v>
      </c>
      <c r="H148" s="323">
        <f t="shared" si="61"/>
        <v>0</v>
      </c>
      <c r="I148" s="357">
        <f t="shared" si="61"/>
        <v>1</v>
      </c>
      <c r="J148" s="323">
        <f t="shared" si="61"/>
        <v>-1194.81</v>
      </c>
      <c r="K148" s="357">
        <f t="shared" si="61"/>
        <v>0.0694626168224299</v>
      </c>
      <c r="L148" s="323">
        <f t="shared" si="61"/>
        <v>0</v>
      </c>
      <c r="M148" s="323">
        <f t="shared" si="61"/>
        <v>0</v>
      </c>
      <c r="N148" s="323">
        <f t="shared" si="61"/>
        <v>0</v>
      </c>
      <c r="O148" s="323">
        <f t="shared" si="61"/>
        <v>1205.14</v>
      </c>
      <c r="P148" s="323">
        <f t="shared" si="61"/>
        <v>78.8599999999999</v>
      </c>
      <c r="Q148" s="357">
        <f t="shared" si="61"/>
        <v>1.0654363808354215</v>
      </c>
      <c r="R148" s="323">
        <f t="shared" si="61"/>
        <v>89.45</v>
      </c>
      <c r="S148" s="323">
        <f t="shared" si="61"/>
        <v>-0.2600000000000051</v>
      </c>
      <c r="T148" s="357">
        <f t="shared" si="61"/>
        <v>0.9970933482392398</v>
      </c>
      <c r="U148" s="323">
        <f t="shared" si="61"/>
        <v>89.19</v>
      </c>
      <c r="V148" s="323">
        <f t="shared" si="61"/>
        <v>89.19</v>
      </c>
      <c r="W148" s="323">
        <f t="shared" si="61"/>
        <v>0</v>
      </c>
      <c r="X148" s="357">
        <f t="shared" si="61"/>
        <v>1</v>
      </c>
      <c r="Y148" s="199">
        <f t="shared" si="51"/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 aca="true" t="shared" si="62" ref="E149:X149">E61</f>
        <v>0</v>
      </c>
      <c r="F149" s="323">
        <f t="shared" si="62"/>
        <v>0</v>
      </c>
      <c r="G149" s="323">
        <f t="shared" si="62"/>
        <v>0</v>
      </c>
      <c r="H149" s="323">
        <f t="shared" si="62"/>
        <v>0</v>
      </c>
      <c r="I149" s="357" t="e">
        <f t="shared" si="62"/>
        <v>#DIV/0!</v>
      </c>
      <c r="J149" s="323">
        <f t="shared" si="62"/>
        <v>0</v>
      </c>
      <c r="K149" s="357" t="e">
        <f t="shared" si="62"/>
        <v>#DIV/0!</v>
      </c>
      <c r="L149" s="323">
        <f t="shared" si="62"/>
        <v>0</v>
      </c>
      <c r="M149" s="323">
        <f t="shared" si="62"/>
        <v>0</v>
      </c>
      <c r="N149" s="323">
        <f t="shared" si="62"/>
        <v>0</v>
      </c>
      <c r="O149" s="323">
        <f t="shared" si="62"/>
        <v>23.38</v>
      </c>
      <c r="P149" s="323">
        <f t="shared" si="62"/>
        <v>-23.38</v>
      </c>
      <c r="Q149" s="357">
        <f t="shared" si="62"/>
        <v>0</v>
      </c>
      <c r="R149" s="323">
        <f t="shared" si="62"/>
        <v>0</v>
      </c>
      <c r="S149" s="323">
        <f t="shared" si="62"/>
        <v>0</v>
      </c>
      <c r="T149" s="357">
        <f t="shared" si="62"/>
        <v>0</v>
      </c>
      <c r="U149" s="323">
        <f t="shared" si="62"/>
        <v>0</v>
      </c>
      <c r="V149" s="323">
        <f t="shared" si="62"/>
        <v>0</v>
      </c>
      <c r="W149" s="323">
        <f t="shared" si="62"/>
        <v>0</v>
      </c>
      <c r="X149" s="357" t="e">
        <f t="shared" si="62"/>
        <v>#DIV/0!</v>
      </c>
      <c r="Y149" s="199">
        <f t="shared" si="51"/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 aca="true" t="shared" si="63" ref="E150:X150">E62</f>
        <v>21260</v>
      </c>
      <c r="F150" s="360">
        <f t="shared" si="63"/>
        <v>1890</v>
      </c>
      <c r="G150" s="360">
        <f t="shared" si="63"/>
        <v>1894.1</v>
      </c>
      <c r="H150" s="360">
        <f t="shared" si="63"/>
        <v>4.099999999999909</v>
      </c>
      <c r="I150" s="362">
        <f t="shared" si="63"/>
        <v>1.002169312169312</v>
      </c>
      <c r="J150" s="360">
        <f t="shared" si="63"/>
        <v>-19365.9</v>
      </c>
      <c r="K150" s="362">
        <f t="shared" si="63"/>
        <v>0.08909219190968955</v>
      </c>
      <c r="L150" s="360">
        <f t="shared" si="63"/>
        <v>0</v>
      </c>
      <c r="M150" s="360">
        <f t="shared" si="63"/>
        <v>0</v>
      </c>
      <c r="N150" s="360">
        <f t="shared" si="63"/>
        <v>0</v>
      </c>
      <c r="O150" s="360">
        <f t="shared" si="63"/>
        <v>20110.14</v>
      </c>
      <c r="P150" s="360">
        <f t="shared" si="63"/>
        <v>1149.8600000000006</v>
      </c>
      <c r="Q150" s="362">
        <f t="shared" si="63"/>
        <v>1.0571781200926498</v>
      </c>
      <c r="R150" s="360">
        <f t="shared" si="63"/>
        <v>1052.56</v>
      </c>
      <c r="S150" s="360">
        <f t="shared" si="63"/>
        <v>841.54</v>
      </c>
      <c r="T150" s="362">
        <f t="shared" si="63"/>
        <v>1.7995173671809683</v>
      </c>
      <c r="U150" s="360">
        <f t="shared" si="63"/>
        <v>1890</v>
      </c>
      <c r="V150" s="360">
        <f t="shared" si="63"/>
        <v>1894.1</v>
      </c>
      <c r="W150" s="360">
        <f t="shared" si="63"/>
        <v>4.099999999999909</v>
      </c>
      <c r="X150" s="362">
        <f t="shared" si="63"/>
        <v>1.002169312169312</v>
      </c>
      <c r="Y150" s="199">
        <f t="shared" si="51"/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 aca="true" t="shared" si="64" ref="E151:X151">E63</f>
        <v>767</v>
      </c>
      <c r="F151" s="360">
        <f t="shared" si="64"/>
        <v>57</v>
      </c>
      <c r="G151" s="360">
        <f t="shared" si="64"/>
        <v>59.37</v>
      </c>
      <c r="H151" s="360">
        <f t="shared" si="64"/>
        <v>2.3699999999999974</v>
      </c>
      <c r="I151" s="362">
        <f t="shared" si="64"/>
        <v>1.041578947368421</v>
      </c>
      <c r="J151" s="360">
        <f t="shared" si="64"/>
        <v>-707.63</v>
      </c>
      <c r="K151" s="362">
        <f t="shared" si="64"/>
        <v>0.07740547588005214</v>
      </c>
      <c r="L151" s="360">
        <f t="shared" si="64"/>
        <v>0</v>
      </c>
      <c r="M151" s="360">
        <f t="shared" si="64"/>
        <v>0</v>
      </c>
      <c r="N151" s="360">
        <f t="shared" si="64"/>
        <v>0</v>
      </c>
      <c r="O151" s="360">
        <f t="shared" si="64"/>
        <v>710.04</v>
      </c>
      <c r="P151" s="360">
        <f t="shared" si="64"/>
        <v>56.960000000000036</v>
      </c>
      <c r="Q151" s="362">
        <f t="shared" si="64"/>
        <v>1.0802208326291478</v>
      </c>
      <c r="R151" s="360">
        <f t="shared" si="64"/>
        <v>44.53</v>
      </c>
      <c r="S151" s="360">
        <f t="shared" si="64"/>
        <v>14.839999999999996</v>
      </c>
      <c r="T151" s="362">
        <f t="shared" si="64"/>
        <v>1.3332584774309453</v>
      </c>
      <c r="U151" s="360">
        <f t="shared" si="64"/>
        <v>57</v>
      </c>
      <c r="V151" s="360">
        <f t="shared" si="64"/>
        <v>59.37</v>
      </c>
      <c r="W151" s="360">
        <f t="shared" si="64"/>
        <v>2.3699999999999974</v>
      </c>
      <c r="X151" s="362">
        <f t="shared" si="64"/>
        <v>1.041578947368421</v>
      </c>
      <c r="Y151" s="199">
        <f t="shared" si="51"/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 aca="true" t="shared" si="65" ref="E152:X152">E64</f>
        <v>44</v>
      </c>
      <c r="F152" s="360">
        <f t="shared" si="65"/>
        <v>1</v>
      </c>
      <c r="G152" s="360">
        <f t="shared" si="65"/>
        <v>1.06</v>
      </c>
      <c r="H152" s="360">
        <f t="shared" si="65"/>
        <v>0.06000000000000005</v>
      </c>
      <c r="I152" s="362">
        <f t="shared" si="65"/>
        <v>1.06</v>
      </c>
      <c r="J152" s="360">
        <f t="shared" si="65"/>
        <v>-42.94</v>
      </c>
      <c r="K152" s="362">
        <f t="shared" si="65"/>
        <v>0.024090909090909093</v>
      </c>
      <c r="L152" s="360">
        <f t="shared" si="65"/>
        <v>0</v>
      </c>
      <c r="M152" s="360">
        <f t="shared" si="65"/>
        <v>0</v>
      </c>
      <c r="N152" s="360">
        <f t="shared" si="65"/>
        <v>0</v>
      </c>
      <c r="O152" s="360">
        <f t="shared" si="65"/>
        <v>41.44</v>
      </c>
      <c r="P152" s="360">
        <f t="shared" si="65"/>
        <v>2.5600000000000023</v>
      </c>
      <c r="Q152" s="362">
        <f t="shared" si="65"/>
        <v>1.0617760617760619</v>
      </c>
      <c r="R152" s="360">
        <f t="shared" si="65"/>
        <v>0</v>
      </c>
      <c r="S152" s="360">
        <f t="shared" si="65"/>
        <v>1.06</v>
      </c>
      <c r="T152" s="362" t="e">
        <f t="shared" si="65"/>
        <v>#DIV/0!</v>
      </c>
      <c r="U152" s="360">
        <f t="shared" si="65"/>
        <v>1</v>
      </c>
      <c r="V152" s="360">
        <f t="shared" si="65"/>
        <v>1.06</v>
      </c>
      <c r="W152" s="360">
        <f t="shared" si="65"/>
        <v>0.06000000000000005</v>
      </c>
      <c r="X152" s="362">
        <f t="shared" si="65"/>
        <v>1.06</v>
      </c>
      <c r="Y152" s="199" t="e">
        <f t="shared" si="51"/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 aca="true" t="shared" si="66" ref="E153:W153">SUM(E148:E152)</f>
        <v>23355</v>
      </c>
      <c r="F153" s="351">
        <f t="shared" si="66"/>
        <v>2037.19</v>
      </c>
      <c r="G153" s="351">
        <f t="shared" si="66"/>
        <v>2043.7199999999998</v>
      </c>
      <c r="H153" s="351">
        <f t="shared" si="66"/>
        <v>6.529999999999907</v>
      </c>
      <c r="I153" s="189">
        <f>G153/F153</f>
        <v>1.0032053956675615</v>
      </c>
      <c r="J153" s="351">
        <f t="shared" si="66"/>
        <v>-21311.280000000002</v>
      </c>
      <c r="K153" s="189">
        <f>G153/E153</f>
        <v>0.0875067437379576</v>
      </c>
      <c r="L153" s="351">
        <f t="shared" si="66"/>
        <v>0</v>
      </c>
      <c r="M153" s="351">
        <f t="shared" si="66"/>
        <v>0</v>
      </c>
      <c r="N153" s="351">
        <f t="shared" si="66"/>
        <v>0</v>
      </c>
      <c r="O153" s="351">
        <f t="shared" si="66"/>
        <v>22090.14</v>
      </c>
      <c r="P153" s="351">
        <f t="shared" si="66"/>
        <v>1264.8600000000006</v>
      </c>
      <c r="Q153" s="189">
        <f>E153/O153</f>
        <v>1.0572590304995804</v>
      </c>
      <c r="R153" s="351">
        <f t="shared" si="66"/>
        <v>1186.54</v>
      </c>
      <c r="S153" s="351">
        <f t="shared" si="66"/>
        <v>857.18</v>
      </c>
      <c r="T153" s="189">
        <f>G153/R153</f>
        <v>1.7224198088560014</v>
      </c>
      <c r="U153" s="351">
        <f t="shared" si="66"/>
        <v>2037.19</v>
      </c>
      <c r="V153" s="351">
        <f t="shared" si="66"/>
        <v>2043.7199999999998</v>
      </c>
      <c r="W153" s="351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 aca="true" t="shared" si="67" ref="E157:X157">E72</f>
        <v>8170</v>
      </c>
      <c r="F157" s="348">
        <f t="shared" si="67"/>
        <v>568.65</v>
      </c>
      <c r="G157" s="348">
        <f t="shared" si="67"/>
        <v>568.65</v>
      </c>
      <c r="H157" s="348">
        <f t="shared" si="67"/>
        <v>0</v>
      </c>
      <c r="I157" s="347">
        <f t="shared" si="67"/>
        <v>1</v>
      </c>
      <c r="J157" s="348">
        <f t="shared" si="67"/>
        <v>-7601.35</v>
      </c>
      <c r="K157" s="347">
        <f t="shared" si="67"/>
        <v>0.06960220318237453</v>
      </c>
      <c r="L157" s="348">
        <f t="shared" si="67"/>
        <v>0</v>
      </c>
      <c r="M157" s="348">
        <f t="shared" si="67"/>
        <v>0</v>
      </c>
      <c r="N157" s="348">
        <f t="shared" si="67"/>
        <v>0</v>
      </c>
      <c r="O157" s="348">
        <f t="shared" si="67"/>
        <v>8086.92</v>
      </c>
      <c r="P157" s="348">
        <f t="shared" si="67"/>
        <v>83.07999999999993</v>
      </c>
      <c r="Q157" s="347">
        <f t="shared" si="67"/>
        <v>1.0102733797292418</v>
      </c>
      <c r="R157" s="348">
        <f t="shared" si="67"/>
        <v>2247.33</v>
      </c>
      <c r="S157" s="348">
        <f t="shared" si="67"/>
        <v>-1678.6799999999998</v>
      </c>
      <c r="T157" s="347">
        <f t="shared" si="67"/>
        <v>0.2530335998718479</v>
      </c>
      <c r="U157" s="348">
        <f t="shared" si="67"/>
        <v>568.65</v>
      </c>
      <c r="V157" s="348">
        <f t="shared" si="67"/>
        <v>568.65</v>
      </c>
      <c r="W157" s="348">
        <f t="shared" si="67"/>
        <v>0</v>
      </c>
      <c r="X157" s="347">
        <f t="shared" si="67"/>
        <v>1</v>
      </c>
      <c r="Y157" s="199">
        <f t="shared" si="51"/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 aca="true" t="shared" si="68" ref="E158:X158">E76</f>
        <v>174.4</v>
      </c>
      <c r="F158" s="348">
        <f t="shared" si="68"/>
        <v>0</v>
      </c>
      <c r="G158" s="348">
        <f t="shared" si="68"/>
        <v>0</v>
      </c>
      <c r="H158" s="348">
        <f t="shared" si="68"/>
        <v>0</v>
      </c>
      <c r="I158" s="347" t="e">
        <f t="shared" si="68"/>
        <v>#DIV/0!</v>
      </c>
      <c r="J158" s="348">
        <f t="shared" si="68"/>
        <v>-174.4</v>
      </c>
      <c r="K158" s="347">
        <f t="shared" si="68"/>
        <v>0</v>
      </c>
      <c r="L158" s="348">
        <f t="shared" si="68"/>
        <v>0</v>
      </c>
      <c r="M158" s="348">
        <f t="shared" si="68"/>
        <v>0</v>
      </c>
      <c r="N158" s="348">
        <f t="shared" si="68"/>
        <v>0</v>
      </c>
      <c r="O158" s="348">
        <f t="shared" si="68"/>
        <v>142.18</v>
      </c>
      <c r="P158" s="348">
        <f t="shared" si="68"/>
        <v>32.22</v>
      </c>
      <c r="Q158" s="347">
        <f t="shared" si="68"/>
        <v>1.2266141510761006</v>
      </c>
      <c r="R158" s="348">
        <f t="shared" si="68"/>
        <v>32.89</v>
      </c>
      <c r="S158" s="348">
        <f t="shared" si="68"/>
        <v>-32.89</v>
      </c>
      <c r="T158" s="347">
        <f t="shared" si="68"/>
        <v>0</v>
      </c>
      <c r="U158" s="348">
        <f t="shared" si="68"/>
        <v>0</v>
      </c>
      <c r="V158" s="348">
        <f t="shared" si="68"/>
        <v>0</v>
      </c>
      <c r="W158" s="348">
        <f t="shared" si="68"/>
        <v>0</v>
      </c>
      <c r="X158" s="347" t="e">
        <f t="shared" si="68"/>
        <v>#DIV/0!</v>
      </c>
      <c r="Y158" s="199">
        <f t="shared" si="51"/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 aca="true" t="shared" si="69" ref="E159:W159">SUM(E157:E158)</f>
        <v>8344.4</v>
      </c>
      <c r="F159" s="351">
        <f t="shared" si="69"/>
        <v>568.65</v>
      </c>
      <c r="G159" s="351">
        <f t="shared" si="69"/>
        <v>568.65</v>
      </c>
      <c r="H159" s="351">
        <f t="shared" si="69"/>
        <v>0</v>
      </c>
      <c r="I159" s="189">
        <f>G159/F159</f>
        <v>1</v>
      </c>
      <c r="J159" s="351">
        <f t="shared" si="69"/>
        <v>-7775.75</v>
      </c>
      <c r="K159" s="189">
        <f>G159/E159</f>
        <v>0.06814750011984085</v>
      </c>
      <c r="L159" s="351">
        <f t="shared" si="69"/>
        <v>0</v>
      </c>
      <c r="M159" s="351">
        <f t="shared" si="69"/>
        <v>0</v>
      </c>
      <c r="N159" s="351">
        <f t="shared" si="69"/>
        <v>0</v>
      </c>
      <c r="O159" s="351">
        <f t="shared" si="69"/>
        <v>8229.1</v>
      </c>
      <c r="P159" s="351">
        <f t="shared" si="69"/>
        <v>115.29999999999993</v>
      </c>
      <c r="Q159" s="189">
        <f>E159/O159</f>
        <v>1.0140112527493892</v>
      </c>
      <c r="R159" s="351">
        <f t="shared" si="69"/>
        <v>2280.22</v>
      </c>
      <c r="S159" s="351">
        <f t="shared" si="69"/>
        <v>-1711.57</v>
      </c>
      <c r="T159" s="189">
        <f>G159/R159</f>
        <v>0.24938383138469097</v>
      </c>
      <c r="U159" s="351">
        <f t="shared" si="69"/>
        <v>568.65</v>
      </c>
      <c r="V159" s="351">
        <f t="shared" si="69"/>
        <v>568.65</v>
      </c>
      <c r="W159" s="351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A87" sqref="AA8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491" t="s">
        <v>142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186"/>
    </row>
    <row r="2" spans="2:24" s="1" customFormat="1" ht="15.75" customHeight="1">
      <c r="B2" s="492"/>
      <c r="C2" s="492"/>
      <c r="D2" s="492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93"/>
      <c r="B3" s="495"/>
      <c r="C3" s="496" t="s">
        <v>0</v>
      </c>
      <c r="D3" s="497" t="s">
        <v>143</v>
      </c>
      <c r="E3" s="25"/>
      <c r="F3" s="498" t="s">
        <v>26</v>
      </c>
      <c r="G3" s="499"/>
      <c r="H3" s="499"/>
      <c r="I3" s="499"/>
      <c r="J3" s="500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09" t="s">
        <v>144</v>
      </c>
      <c r="U3" s="502" t="s">
        <v>145</v>
      </c>
      <c r="V3" s="502"/>
      <c r="W3" s="502"/>
      <c r="X3" s="194"/>
    </row>
    <row r="4" spans="1:23" ht="22.5" customHeight="1">
      <c r="A4" s="493"/>
      <c r="B4" s="495"/>
      <c r="C4" s="496"/>
      <c r="D4" s="497"/>
      <c r="E4" s="485" t="s">
        <v>146</v>
      </c>
      <c r="F4" s="487" t="s">
        <v>31</v>
      </c>
      <c r="G4" s="475" t="s">
        <v>147</v>
      </c>
      <c r="H4" s="489" t="s">
        <v>148</v>
      </c>
      <c r="I4" s="475" t="s">
        <v>149</v>
      </c>
      <c r="J4" s="489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89"/>
      <c r="U4" s="473" t="s">
        <v>152</v>
      </c>
      <c r="V4" s="475" t="s">
        <v>44</v>
      </c>
      <c r="W4" s="477" t="s">
        <v>43</v>
      </c>
    </row>
    <row r="5" spans="1:23" ht="67.5" customHeight="1">
      <c r="A5" s="494"/>
      <c r="B5" s="495"/>
      <c r="C5" s="496"/>
      <c r="D5" s="497"/>
      <c r="E5" s="486"/>
      <c r="F5" s="488"/>
      <c r="G5" s="476"/>
      <c r="H5" s="490"/>
      <c r="I5" s="476"/>
      <c r="J5" s="490"/>
      <c r="K5" s="478" t="s">
        <v>109</v>
      </c>
      <c r="L5" s="479"/>
      <c r="M5" s="480"/>
      <c r="N5" s="481" t="s">
        <v>153</v>
      </c>
      <c r="O5" s="482"/>
      <c r="P5" s="483"/>
      <c r="Q5" s="484" t="s">
        <v>154</v>
      </c>
      <c r="R5" s="484"/>
      <c r="S5" s="484"/>
      <c r="T5" s="490"/>
      <c r="U5" s="474"/>
      <c r="V5" s="476"/>
      <c r="W5" s="477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 aca="true" t="shared" si="0" ref="X8:X22">S8-P8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 t="shared" si="0"/>
        <v>0.003012131566098031</v>
      </c>
      <c r="Y9" s="260">
        <f aca="true" t="shared" si="1" ref="Y9:Y72">S9-P9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 t="shared" si="0"/>
        <v>-0.007269683338326782</v>
      </c>
      <c r="Y10" s="260">
        <f t="shared" si="1"/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 t="shared" si="0"/>
        <v>0.012037594103769922</v>
      </c>
      <c r="Y11" s="260">
        <f t="shared" si="1"/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 t="shared" si="0"/>
        <v>0.3481036992025446</v>
      </c>
      <c r="Y12" s="260">
        <f t="shared" si="1"/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 t="shared" si="0"/>
        <v>0.06785213749811159</v>
      </c>
      <c r="Y13" s="260">
        <f t="shared" si="1"/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 t="shared" si="0"/>
        <v>0.07199597530065083</v>
      </c>
      <c r="Y14" s="260">
        <f t="shared" si="1"/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 t="shared" si="0"/>
        <v>0.00023950009797735206</v>
      </c>
      <c r="Y15" s="260">
        <f t="shared" si="1"/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 t="shared" si="0"/>
        <v>#DIV/0!</v>
      </c>
      <c r="Y16" s="260" t="e">
        <f t="shared" si="1"/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 t="shared" si="0"/>
        <v>2.88235294117647</v>
      </c>
      <c r="Y17" s="260">
        <f t="shared" si="1"/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 t="shared" si="0"/>
        <v>0.004731355252606484</v>
      </c>
      <c r="Y18" s="260">
        <f t="shared" si="1"/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 t="shared" si="0"/>
        <v>-0.03683566123757509</v>
      </c>
      <c r="Y19" s="260">
        <f t="shared" si="1"/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 t="shared" si="0"/>
        <v>-0.026164610275941858</v>
      </c>
      <c r="Y20" s="260">
        <f t="shared" si="1"/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 t="shared" si="0"/>
        <v>0</v>
      </c>
      <c r="Y21" s="260">
        <f t="shared" si="1"/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 t="shared" si="0"/>
        <v>0</v>
      </c>
      <c r="Y22" s="260">
        <f t="shared" si="1"/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 t="shared" si="1"/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 aca="true" t="shared" si="2" ref="X24:X99">S24-P24</f>
        <v>-0.009325376635295646</v>
      </c>
      <c r="Y24" s="260">
        <f t="shared" si="1"/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 t="shared" si="2"/>
        <v>0.019791305902199685</v>
      </c>
      <c r="Y25" s="260">
        <f t="shared" si="1"/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 t="shared" si="2"/>
        <v>-0.3671650646730744</v>
      </c>
      <c r="Y26" s="260">
        <f t="shared" si="1"/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 t="shared" si="2"/>
        <v>0.03559104744019481</v>
      </c>
      <c r="Y27" s="260">
        <f t="shared" si="1"/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 t="shared" si="1"/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 t="shared" si="1"/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 t="shared" si="1"/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 t="shared" si="1"/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 t="shared" si="2"/>
        <v>-0.00675357982474889</v>
      </c>
      <c r="Y32" s="260">
        <f t="shared" si="1"/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 t="shared" si="1"/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 t="shared" si="1"/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 t="shared" si="2"/>
        <v>-0.013243246686799548</v>
      </c>
      <c r="Y35" s="260">
        <f t="shared" si="1"/>
        <v>-0.013243246686799548</v>
      </c>
    </row>
    <row r="36" spans="1:25" s="6" customFormat="1" ht="18" customHeight="1" hidden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 t="shared" si="2"/>
        <v>0.0015162695441595098</v>
      </c>
      <c r="Y36" s="260">
        <f t="shared" si="1"/>
        <v>0.0015162695441595098</v>
      </c>
    </row>
    <row r="37" spans="1:25" s="6" customFormat="1" ht="18" customHeight="1" hidden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 t="shared" si="2"/>
        <v>-0.019928209913950168</v>
      </c>
      <c r="Y37" s="260">
        <f t="shared" si="1"/>
        <v>-0.019928209913950168</v>
      </c>
    </row>
    <row r="38" spans="1:25" s="6" customFormat="1" ht="18" customHeight="1" hidden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 t="shared" si="1"/>
        <v>0.005969908434512616</v>
      </c>
    </row>
    <row r="39" spans="1:25" s="6" customFormat="1" ht="18" customHeight="1" hidden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 t="shared" si="1"/>
        <v>-0.018910894893122254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 t="shared" si="1"/>
        <v>-0.06129099606946076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 t="shared" si="1"/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 t="shared" si="2"/>
        <v>0</v>
      </c>
      <c r="Y42" s="260">
        <f t="shared" si="1"/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 t="shared" si="2"/>
        <v>0.3553704962610469</v>
      </c>
      <c r="Y43" s="260">
        <f t="shared" si="1"/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 t="shared" si="1"/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 t="shared" si="1"/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 t="shared" si="2"/>
        <v>0.28532898803169077</v>
      </c>
      <c r="Y46" s="260">
        <f t="shared" si="1"/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 t="shared" si="2"/>
        <v>0.015575610070475143</v>
      </c>
      <c r="Y47" s="260">
        <f t="shared" si="1"/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 t="shared" si="2"/>
        <v>0.043478260869565216</v>
      </c>
      <c r="Y48" s="260">
        <f t="shared" si="1"/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 t="shared" si="2"/>
        <v>0.01864362128488173</v>
      </c>
      <c r="Y49" s="260">
        <f t="shared" si="1"/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 t="shared" si="2"/>
        <v>0.014466967508085071</v>
      </c>
      <c r="Y50" s="260">
        <f t="shared" si="1"/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 t="shared" si="2"/>
        <v>0.228887277999275</v>
      </c>
      <c r="Y51" s="260">
        <f t="shared" si="1"/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 t="shared" si="2"/>
        <v>0</v>
      </c>
      <c r="Y52" s="260">
        <f t="shared" si="1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 t="shared" si="2"/>
        <v>0.021104340950781952</v>
      </c>
      <c r="Y53" s="259">
        <f t="shared" si="1"/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 t="shared" si="2"/>
        <v>0.0017421602787459634</v>
      </c>
      <c r="Y54" s="260">
        <f t="shared" si="1"/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 t="shared" si="2"/>
        <v>0.016537264051347367</v>
      </c>
      <c r="Y55" s="260">
        <f t="shared" si="1"/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 t="shared" si="2"/>
        <v>3.5428392745465915</v>
      </c>
      <c r="Y56" s="260">
        <f t="shared" si="1"/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 t="shared" si="2"/>
        <v>-130</v>
      </c>
      <c r="Y57" s="260">
        <f t="shared" si="1"/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 t="shared" si="2"/>
        <v>0.18795370639233377</v>
      </c>
      <c r="Y58" s="260">
        <f t="shared" si="1"/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 t="shared" si="2"/>
        <v>0.19451198332754416</v>
      </c>
      <c r="Y59" s="260">
        <f t="shared" si="1"/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 t="shared" si="2"/>
        <v>0.040615166870964226</v>
      </c>
      <c r="Y60" s="260">
        <f t="shared" si="1"/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 t="shared" si="2"/>
        <v>#DIV/0!</v>
      </c>
      <c r="Y61" s="260" t="e">
        <f t="shared" si="1"/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 t="shared" si="2"/>
        <v>0.03591507988618958</v>
      </c>
      <c r="Y62" s="260">
        <f t="shared" si="1"/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 t="shared" si="2"/>
        <v>0.0496210363495746</v>
      </c>
      <c r="Y63" s="260">
        <f t="shared" si="1"/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 t="shared" si="2"/>
        <v>0.9588550983899821</v>
      </c>
      <c r="Y64" s="260">
        <f t="shared" si="1"/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 t="shared" si="2"/>
        <v>0.012995077747796513</v>
      </c>
      <c r="Y65" s="260">
        <f t="shared" si="1"/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 t="shared" si="2"/>
        <v>-0.017588455711113782</v>
      </c>
      <c r="Y66" s="260">
        <f t="shared" si="1"/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 t="shared" si="2"/>
        <v>-0.0710958920511009</v>
      </c>
      <c r="Y67" s="260">
        <f t="shared" si="1"/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 t="shared" si="2"/>
        <v>-2.1578947368421053</v>
      </c>
      <c r="Y68" s="260">
        <f t="shared" si="1"/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 t="shared" si="2"/>
        <v>-50</v>
      </c>
      <c r="Y69" s="260">
        <f t="shared" si="1"/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 t="shared" si="2"/>
        <v>-0.006838136365107474</v>
      </c>
      <c r="Y70" s="260">
        <f t="shared" si="1"/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 t="shared" si="2"/>
        <v>-0.1869918699186992</v>
      </c>
      <c r="Y71" s="260">
        <f t="shared" si="1"/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 t="shared" si="2"/>
        <v>0.032477364539720055</v>
      </c>
      <c r="Y72" s="260">
        <f t="shared" si="1"/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 t="shared" si="2"/>
        <v>#DIV/0!</v>
      </c>
      <c r="Y73" s="260" t="e">
        <f aca="true" t="shared" si="3" ref="Y73:Y136">S73-P73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 t="shared" si="3"/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 t="shared" si="2"/>
        <v>#DIV/0!</v>
      </c>
      <c r="Y75" s="260" t="e">
        <f t="shared" si="3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 t="shared" si="2"/>
        <v>-0.07859915314043753</v>
      </c>
      <c r="Y76" s="260">
        <f t="shared" si="3"/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 t="shared" si="2"/>
        <v>1.4215976331360947</v>
      </c>
      <c r="Y77" s="260">
        <f t="shared" si="3"/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 t="shared" si="2"/>
        <v>-0.6594301221166893</v>
      </c>
      <c r="Y78" s="260">
        <f t="shared" si="3"/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 t="shared" si="2"/>
        <v>0.00010001238551393676</v>
      </c>
      <c r="Y79" s="259">
        <f t="shared" si="3"/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 t="shared" si="2"/>
        <v>0</v>
      </c>
      <c r="Y80" s="260">
        <f t="shared" si="3"/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 t="shared" si="2"/>
        <v>0</v>
      </c>
      <c r="Y81" s="260">
        <f t="shared" si="3"/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 t="shared" si="2"/>
        <v>0</v>
      </c>
      <c r="Y82" s="260">
        <f t="shared" si="3"/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 t="shared" si="2"/>
        <v>0</v>
      </c>
      <c r="Y83" s="260">
        <f t="shared" si="3"/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 t="shared" si="2"/>
        <v>#DIV/0!</v>
      </c>
      <c r="Y84" s="260" t="e">
        <f t="shared" si="3"/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 t="shared" si="2"/>
        <v>0.2590775269872424</v>
      </c>
      <c r="Y85" s="260">
        <f t="shared" si="3"/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 t="shared" si="2"/>
        <v>0.25834970530451873</v>
      </c>
      <c r="Y86" s="260">
        <f t="shared" si="3"/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 t="shared" si="3"/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 t="shared" si="2"/>
        <v>-3.2687481462397625</v>
      </c>
      <c r="Y88" s="260">
        <f t="shared" si="3"/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 t="shared" si="2"/>
        <v>-4.3941510784542</v>
      </c>
      <c r="Y89" s="260">
        <f t="shared" si="3"/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 t="shared" si="2"/>
        <v>-4.899006526543314</v>
      </c>
      <c r="Y90" s="260">
        <f t="shared" si="3"/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 t="shared" si="2"/>
        <v>0.6153846153846154</v>
      </c>
      <c r="Y91" s="260">
        <f t="shared" si="3"/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 t="shared" si="2"/>
        <v>-4.433715580990531</v>
      </c>
      <c r="Y92" s="260">
        <f t="shared" si="3"/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 t="shared" si="2"/>
        <v>0.13101871695956568</v>
      </c>
      <c r="Y93" s="260">
        <f t="shared" si="3"/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 t="shared" si="2"/>
        <v>#DIV/0!</v>
      </c>
      <c r="Y94" s="260" t="e">
        <f t="shared" si="3"/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 t="shared" si="2"/>
        <v>-0.039036572692836446</v>
      </c>
      <c r="Y95" s="260">
        <f t="shared" si="3"/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 t="shared" si="2"/>
        <v>0.06756756756756757</v>
      </c>
      <c r="Y96" s="260">
        <f t="shared" si="3"/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 t="shared" si="2"/>
        <v>-0.037604980917956055</v>
      </c>
      <c r="Y97" s="260">
        <f t="shared" si="3"/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 t="shared" si="2"/>
        <v>-0.0011321822813472604</v>
      </c>
      <c r="Y98" s="260">
        <f t="shared" si="3"/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 t="shared" si="2"/>
        <v>0</v>
      </c>
      <c r="Y99" s="260">
        <f t="shared" si="3"/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 t="shared" si="3"/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 t="shared" si="3"/>
        <v>-0.1127113758633087</v>
      </c>
    </row>
    <row r="102" spans="2:25" ht="15" hidden="1">
      <c r="B102" s="262" t="s">
        <v>159</v>
      </c>
      <c r="U102" s="263"/>
      <c r="X102" s="197"/>
      <c r="Y102" s="260">
        <f t="shared" si="3"/>
        <v>0</v>
      </c>
    </row>
    <row r="103" spans="2:25" ht="15" hidden="1">
      <c r="B103" s="4" t="s">
        <v>160</v>
      </c>
      <c r="C103" s="264">
        <v>0</v>
      </c>
      <c r="D103" s="4" t="s">
        <v>161</v>
      </c>
      <c r="U103" s="265"/>
      <c r="X103" s="197"/>
      <c r="Y103" s="260">
        <f t="shared" si="3"/>
        <v>0</v>
      </c>
    </row>
    <row r="104" spans="2:25" ht="30.75" hidden="1">
      <c r="B104" s="266" t="s">
        <v>162</v>
      </c>
      <c r="C104" s="267" t="e">
        <v>#DIV/0!</v>
      </c>
      <c r="D104" s="4" t="s">
        <v>24</v>
      </c>
      <c r="G104" s="510"/>
      <c r="H104" s="510"/>
      <c r="I104" s="510"/>
      <c r="J104" s="510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 t="shared" si="3"/>
        <v>0</v>
      </c>
    </row>
    <row r="105" spans="2:25" ht="34.5" customHeight="1" hidden="1">
      <c r="B105" s="270" t="s">
        <v>163</v>
      </c>
      <c r="C105" s="271">
        <v>43098</v>
      </c>
      <c r="D105" s="267">
        <v>2330.8</v>
      </c>
      <c r="G105" s="4" t="s">
        <v>164</v>
      </c>
      <c r="U105" s="511"/>
      <c r="V105" s="511"/>
      <c r="X105" s="197"/>
      <c r="Y105" s="260">
        <f t="shared" si="3"/>
        <v>0</v>
      </c>
    </row>
    <row r="106" spans="3:25" ht="15" hidden="1">
      <c r="C106" s="271">
        <v>43097</v>
      </c>
      <c r="D106" s="267">
        <v>15629.9</v>
      </c>
      <c r="G106" s="469"/>
      <c r="H106" s="469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1"/>
      <c r="V106" s="511"/>
      <c r="X106" s="197"/>
      <c r="Y106" s="260">
        <f t="shared" si="3"/>
        <v>0</v>
      </c>
    </row>
    <row r="107" spans="3:25" ht="15.75" customHeight="1" hidden="1">
      <c r="C107" s="271">
        <v>43096</v>
      </c>
      <c r="D107" s="267">
        <v>15417.7</v>
      </c>
      <c r="G107" s="469"/>
      <c r="H107" s="469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1"/>
      <c r="V107" s="511"/>
      <c r="X107" s="197"/>
      <c r="Y107" s="260">
        <f t="shared" si="3"/>
        <v>0</v>
      </c>
    </row>
    <row r="108" spans="3:25" ht="15.75" customHeight="1" hidden="1">
      <c r="C108" s="271"/>
      <c r="F108" s="278"/>
      <c r="G108" s="470"/>
      <c r="H108" s="470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 t="shared" si="3"/>
        <v>0</v>
      </c>
    </row>
    <row r="109" spans="2:25" ht="18" customHeight="1" hidden="1">
      <c r="B109" s="471" t="s">
        <v>165</v>
      </c>
      <c r="C109" s="472"/>
      <c r="D109" s="280">
        <f>3396166.95/1000</f>
        <v>3396.1669500000003</v>
      </c>
      <c r="E109" s="281"/>
      <c r="F109" s="282" t="s">
        <v>166</v>
      </c>
      <c r="G109" s="469"/>
      <c r="H109" s="469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 t="shared" si="3"/>
        <v>0</v>
      </c>
    </row>
    <row r="110" spans="6:25" ht="9.75" customHeight="1" hidden="1">
      <c r="F110" s="278"/>
      <c r="G110" s="469"/>
      <c r="H110" s="469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 t="shared" si="3"/>
        <v>0</v>
      </c>
    </row>
    <row r="111" spans="2:25" ht="22.5" customHeight="1" hidden="1">
      <c r="B111" s="468" t="s">
        <v>167</v>
      </c>
      <c r="C111" s="512"/>
      <c r="D111" s="285">
        <v>0</v>
      </c>
      <c r="E111" s="286" t="s">
        <v>24</v>
      </c>
      <c r="F111" s="278"/>
      <c r="G111" s="469"/>
      <c r="H111" s="469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 t="shared" si="3"/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 t="shared" si="3"/>
        <v>0</v>
      </c>
    </row>
    <row r="113" spans="4:25" ht="15" hidden="1">
      <c r="D113" s="265"/>
      <c r="I113" s="267"/>
      <c r="Q113" s="3"/>
      <c r="R113" s="3"/>
      <c r="S113" s="3"/>
      <c r="T113" s="3"/>
      <c r="U113" s="513"/>
      <c r="V113" s="513"/>
      <c r="W113" s="3"/>
      <c r="X113" s="197"/>
      <c r="Y113" s="260">
        <f t="shared" si="3"/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 t="shared" si="3"/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 t="shared" si="3"/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 t="shared" si="3"/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 t="shared" si="3"/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 t="shared" si="3"/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 t="shared" si="3"/>
        <v>0</v>
      </c>
    </row>
    <row r="120" spans="2:25" ht="15" hidden="1">
      <c r="B120" s="272" t="s">
        <v>173</v>
      </c>
      <c r="E120" s="267">
        <v>79090</v>
      </c>
      <c r="X120" s="197"/>
      <c r="Y120" s="260">
        <f t="shared" si="3"/>
        <v>0</v>
      </c>
    </row>
    <row r="121" spans="24:25" ht="15" hidden="1">
      <c r="X121" s="197"/>
      <c r="Y121" s="260">
        <f t="shared" si="3"/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 t="shared" si="3"/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 t="shared" si="3"/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 t="shared" si="3"/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 t="shared" si="3"/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 t="shared" si="3"/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 t="shared" si="3"/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 t="shared" si="3"/>
        <v>0</v>
      </c>
    </row>
    <row r="129" spans="24:25" ht="15" hidden="1">
      <c r="X129" s="197"/>
      <c r="Y129" s="260">
        <f t="shared" si="3"/>
        <v>0</v>
      </c>
    </row>
    <row r="130" spans="24:25" ht="15" hidden="1">
      <c r="X130" s="197"/>
      <c r="Y130" s="260">
        <f t="shared" si="3"/>
        <v>0</v>
      </c>
    </row>
    <row r="131" spans="24:25" ht="15" hidden="1">
      <c r="X131" s="197"/>
      <c r="Y131" s="260">
        <f t="shared" si="3"/>
        <v>0</v>
      </c>
    </row>
    <row r="132" spans="24:25" ht="15" hidden="1">
      <c r="X132" s="197"/>
      <c r="Y132" s="260">
        <f t="shared" si="3"/>
        <v>0</v>
      </c>
    </row>
    <row r="133" spans="24:25" ht="15" hidden="1">
      <c r="X133" s="197"/>
      <c r="Y133" s="260">
        <f t="shared" si="3"/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 aca="true" t="shared" si="4" ref="X136:X145">S136-P136</f>
        <v>2.88235294117647</v>
      </c>
      <c r="Y136" s="260">
        <f t="shared" si="3"/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 t="shared" si="4"/>
        <v>0.004731355252606484</v>
      </c>
      <c r="Y137" s="260">
        <f aca="true" t="shared" si="5" ref="Y137:Y159">S137-P137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 t="shared" si="4"/>
        <v>3.5428392745465915</v>
      </c>
      <c r="Y138" s="260">
        <f t="shared" si="5"/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 t="shared" si="4"/>
        <v>-130</v>
      </c>
      <c r="Y139" s="260">
        <f t="shared" si="5"/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 t="shared" si="4"/>
        <v>0.18795370639233377</v>
      </c>
      <c r="Y140" s="260">
        <f t="shared" si="5"/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 t="shared" si="4"/>
        <v>0.19451198332754416</v>
      </c>
      <c r="Y141" s="260">
        <f t="shared" si="5"/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 t="shared" si="4"/>
        <v>-0.1869918699186992</v>
      </c>
      <c r="Y142" s="260">
        <f t="shared" si="5"/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 t="shared" si="4"/>
        <v>1.4215976331360947</v>
      </c>
      <c r="Y143" s="260">
        <f t="shared" si="5"/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 t="shared" si="4"/>
        <v>-0.6594301221166893</v>
      </c>
      <c r="Y144" s="260">
        <f t="shared" si="5"/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 t="shared" si="4"/>
        <v>0.37487690550281627</v>
      </c>
      <c r="Y145" s="260">
        <f t="shared" si="5"/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 aca="true" t="shared" si="6" ref="X148:X153">S148-P148</f>
        <v>0.040615166870964226</v>
      </c>
      <c r="Y148" s="260">
        <f t="shared" si="5"/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 t="shared" si="6"/>
        <v>#DIV/0!</v>
      </c>
      <c r="Y149" s="260" t="e">
        <f t="shared" si="5"/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 t="shared" si="6"/>
        <v>0.03591507988618958</v>
      </c>
      <c r="Y150" s="260">
        <f t="shared" si="5"/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 t="shared" si="6"/>
        <v>0.0496210363495746</v>
      </c>
      <c r="Y151" s="260">
        <f t="shared" si="5"/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 t="shared" si="6"/>
        <v>0.9588550983899821</v>
      </c>
      <c r="Y152" s="260">
        <f t="shared" si="5"/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 t="shared" si="6"/>
        <v>0.03823737364086299</v>
      </c>
      <c r="Y153" s="260">
        <f t="shared" si="5"/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 t="shared" si="5"/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 t="shared" si="5"/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 t="shared" si="5"/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" right="0" top="0" bottom="0" header="0" footer="0"/>
  <pageSetup fitToHeight="1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39">
      <selection activeCell="W45" sqref="W4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91" t="s">
        <v>185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227"/>
      <c r="S1" s="372"/>
    </row>
    <row r="2" spans="2:19" s="1" customFormat="1" ht="15.75" customHeight="1">
      <c r="B2" s="492"/>
      <c r="C2" s="492"/>
      <c r="D2" s="492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93"/>
      <c r="B3" s="495"/>
      <c r="C3" s="496" t="s">
        <v>0</v>
      </c>
      <c r="D3" s="497" t="s">
        <v>186</v>
      </c>
      <c r="E3" s="25"/>
      <c r="F3" s="498" t="s">
        <v>26</v>
      </c>
      <c r="G3" s="499"/>
      <c r="H3" s="499"/>
      <c r="I3" s="499"/>
      <c r="J3" s="500"/>
      <c r="K3" s="64"/>
      <c r="L3" s="64"/>
      <c r="M3" s="64"/>
      <c r="N3" s="509" t="s">
        <v>187</v>
      </c>
      <c r="O3" s="502" t="s">
        <v>145</v>
      </c>
      <c r="P3" s="502"/>
      <c r="Q3" s="502"/>
      <c r="R3" s="502"/>
      <c r="S3" s="502"/>
    </row>
    <row r="4" spans="1:19" ht="22.5" customHeight="1">
      <c r="A4" s="493"/>
      <c r="B4" s="495"/>
      <c r="C4" s="496"/>
      <c r="D4" s="497"/>
      <c r="E4" s="485" t="s">
        <v>146</v>
      </c>
      <c r="F4" s="514" t="s">
        <v>31</v>
      </c>
      <c r="G4" s="475" t="s">
        <v>188</v>
      </c>
      <c r="H4" s="489" t="s">
        <v>189</v>
      </c>
      <c r="I4" s="475" t="s">
        <v>190</v>
      </c>
      <c r="J4" s="489" t="s">
        <v>191</v>
      </c>
      <c r="K4" s="65" t="s">
        <v>192</v>
      </c>
      <c r="L4" s="142" t="s">
        <v>96</v>
      </c>
      <c r="M4" s="66" t="s">
        <v>53</v>
      </c>
      <c r="N4" s="489"/>
      <c r="O4" s="473" t="s">
        <v>193</v>
      </c>
      <c r="P4" s="475" t="s">
        <v>44</v>
      </c>
      <c r="Q4" s="477" t="s">
        <v>43</v>
      </c>
      <c r="R4" s="375" t="s">
        <v>194</v>
      </c>
      <c r="S4" s="376" t="s">
        <v>53</v>
      </c>
    </row>
    <row r="5" spans="1:19" ht="67.5" customHeight="1">
      <c r="A5" s="494"/>
      <c r="B5" s="495"/>
      <c r="C5" s="496"/>
      <c r="D5" s="497"/>
      <c r="E5" s="486"/>
      <c r="F5" s="515"/>
      <c r="G5" s="476"/>
      <c r="H5" s="490"/>
      <c r="I5" s="476"/>
      <c r="J5" s="490"/>
      <c r="K5" s="478" t="s">
        <v>195</v>
      </c>
      <c r="L5" s="479"/>
      <c r="M5" s="480"/>
      <c r="N5" s="490"/>
      <c r="O5" s="474"/>
      <c r="P5" s="476"/>
      <c r="Q5" s="477"/>
      <c r="R5" s="478" t="s">
        <v>196</v>
      </c>
      <c r="S5" s="480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18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0"/>
      <c r="H89" s="510"/>
      <c r="I89" s="510"/>
      <c r="J89" s="510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1"/>
      <c r="P90" s="511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469"/>
      <c r="H91" s="469"/>
      <c r="I91" s="273"/>
      <c r="J91" s="516"/>
      <c r="K91" s="516"/>
      <c r="L91" s="516"/>
      <c r="M91" s="516"/>
      <c r="N91" s="516"/>
      <c r="O91" s="511"/>
      <c r="P91" s="511"/>
    </row>
    <row r="92" spans="3:16" ht="15.75" customHeight="1" hidden="1">
      <c r="C92" s="271">
        <v>42732</v>
      </c>
      <c r="D92" s="267">
        <v>19085.6</v>
      </c>
      <c r="F92" s="429"/>
      <c r="G92" s="469"/>
      <c r="H92" s="469"/>
      <c r="I92" s="273"/>
      <c r="J92" s="517"/>
      <c r="K92" s="517"/>
      <c r="L92" s="517"/>
      <c r="M92" s="517"/>
      <c r="N92" s="517"/>
      <c r="O92" s="511"/>
      <c r="P92" s="511"/>
    </row>
    <row r="93" spans="3:14" ht="15.75" customHeight="1" hidden="1">
      <c r="C93" s="271"/>
      <c r="F93" s="429"/>
      <c r="G93" s="470"/>
      <c r="H93" s="470"/>
      <c r="I93" s="279"/>
      <c r="J93" s="516"/>
      <c r="K93" s="516"/>
      <c r="L93" s="516"/>
      <c r="M93" s="516"/>
      <c r="N93" s="516"/>
    </row>
    <row r="94" spans="2:14" ht="18.75" customHeight="1" hidden="1">
      <c r="B94" s="471" t="s">
        <v>165</v>
      </c>
      <c r="C94" s="472"/>
      <c r="D94" s="280" t="e">
        <f>'[3]ЧТКЕ'!$G$6/1000</f>
        <v>#VALUE!</v>
      </c>
      <c r="E94" s="281"/>
      <c r="F94" s="430" t="s">
        <v>166</v>
      </c>
      <c r="G94" s="469"/>
      <c r="H94" s="469"/>
      <c r="I94" s="283"/>
      <c r="J94" s="516"/>
      <c r="K94" s="516"/>
      <c r="L94" s="516"/>
      <c r="M94" s="516"/>
      <c r="N94" s="516"/>
    </row>
    <row r="95" spans="6:13" ht="9" customHeight="1" hidden="1">
      <c r="F95" s="429"/>
      <c r="G95" s="469"/>
      <c r="H95" s="469"/>
      <c r="I95" s="278"/>
      <c r="J95" s="281"/>
      <c r="K95" s="281"/>
      <c r="L95" s="281"/>
      <c r="M95" s="281"/>
    </row>
    <row r="96" spans="2:13" ht="22.5" customHeight="1" hidden="1">
      <c r="B96" s="468" t="s">
        <v>167</v>
      </c>
      <c r="C96" s="512"/>
      <c r="D96" s="285">
        <v>0</v>
      </c>
      <c r="E96" s="286" t="s">
        <v>24</v>
      </c>
      <c r="F96" s="429"/>
      <c r="G96" s="469"/>
      <c r="H96" s="469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18"/>
      <c r="P98" s="518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.7086614173228347" top="0" bottom="0" header="0" footer="0"/>
  <pageSetup fitToHeight="1" fitToWidth="1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2018-06-07T09:39:16Z</cp:lastPrinted>
  <dcterms:created xsi:type="dcterms:W3CDTF">2003-07-28T11:27:56Z</dcterms:created>
  <dcterms:modified xsi:type="dcterms:W3CDTF">2018-06-08T07:00:40Z</dcterms:modified>
  <cp:category/>
  <cp:version/>
  <cp:contentType/>
  <cp:contentStatus/>
</cp:coreProperties>
</file>